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drawings/drawing3.xml" ContentType="application/vnd.openxmlformats-officedocument.drawingml.chartshapes+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threadedComments/threadedComment1.xml" ContentType="application/vnd.ms-excel.threadedcomments+xml"/>
  <Override PartName="/xl/drawings/drawing5.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6.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harts/chart11.xml" ContentType="application/vnd.openxmlformats-officedocument.drawingml.chart+xml"/>
  <Override PartName="/xl/drawings/drawing7.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updateLinks="never" codeName="DieseArbeitsmappe" defaultThemeVersion="166925"/>
  <mc:AlternateContent xmlns:mc="http://schemas.openxmlformats.org/markup-compatibility/2006">
    <mc:Choice Requires="x15">
      <x15ac:absPath xmlns:x15ac="http://schemas.microsoft.com/office/spreadsheetml/2010/11/ac" url="C:\Users\Michele\Desktop\TUM\Tesi\GIT rep\"/>
    </mc:Choice>
  </mc:AlternateContent>
  <xr:revisionPtr revIDLastSave="0" documentId="13_ncr:1_{E9974D28-EEF8-457D-BB6B-B2AB6116F2F1}" xr6:coauthVersionLast="47" xr6:coauthVersionMax="47" xr10:uidLastSave="{00000000-0000-0000-0000-000000000000}"/>
  <bookViews>
    <workbookView xWindow="-120" yWindow="-120" windowWidth="20730" windowHeight="11160" tabRatio="792" firstSheet="3" activeTab="3" xr2:uid="{00000000-000D-0000-FFFF-FFFF00000000}"/>
  </bookViews>
  <sheets>
    <sheet name="User Interface" sheetId="2" r:id="rId1"/>
    <sheet name="MissionSpecificTechnologyValues" sheetId="12" r:id="rId2"/>
    <sheet name="MCA ESM" sheetId="5" r:id="rId3"/>
    <sheet name="ECLSS Composition" sheetId="6" r:id="rId4"/>
    <sheet name="Technology" sheetId="1" r:id="rId5"/>
    <sheet name="ECLSS Functions" sheetId="10" r:id="rId6"/>
    <sheet name="Plants and PGC" sheetId="13" r:id="rId7"/>
    <sheet name="Output Data" sheetId="7" r:id="rId8"/>
    <sheet name="Graphical Output" sheetId="8" r:id="rId9"/>
    <sheet name="Resupply Approach" sheetId="9" r:id="rId10"/>
    <sheet name="Schedule and Metabolic" sheetId="3" r:id="rId11"/>
    <sheet name="References" sheetId="11" r:id="rId12"/>
  </sheets>
  <functionGroups builtInGroupCount="19"/>
  <externalReferences>
    <externalReference r:id="rId13"/>
  </externalReferences>
  <definedNames>
    <definedName name="_xlnm._FilterDatabase" localSheetId="2" hidden="1">'MCA ESM'!$A$4:$A$4</definedName>
    <definedName name="_xlnm._FilterDatabase" localSheetId="1" hidden="1">MissionSpecificTechnologyValues!$A$1:$S$301</definedName>
    <definedName name="AirLegend">'ECLSS Composition'!$AE$43</definedName>
    <definedName name="Amount_of_Modules">'User Interface'!$B$15</definedName>
    <definedName name="Amount_of_ORUs">'User Interface'!$I$31</definedName>
    <definedName name="BrineProcSolidWasteLabel">'ECLSS Composition'!$Q$39</definedName>
    <definedName name="BrineProcSolidWasteValue">'ECLSS Composition'!$P$39</definedName>
    <definedName name="BrineProdValue">'ECLSS Composition'!$M$35</definedName>
    <definedName name="BrinProcH2OtoCabinValue">'ECLSS Composition'!$I$36</definedName>
    <definedName name="CH4_FromReductionToProcessingValue">'ECLSS Composition'!$AE$15</definedName>
    <definedName name="CO2_FromReductionToVentLabel">'ECLSS Composition'!$AH$12</definedName>
    <definedName name="CO2_FromReductionToVentValue">'ECLSS Composition'!$AG$12</definedName>
    <definedName name="CO2_FromReductionToWasteLabel">'ECLSS Composition'!$AF$30</definedName>
    <definedName name="CO2_FromReductionToWasteValue">'ECLSS Composition'!$AE$30</definedName>
    <definedName name="CO2_FromRemovalValue">'ECLSS Composition'!$Z$7</definedName>
    <definedName name="CO2_FromWasteToCabinValue">'ECLSS Composition'!$I$39</definedName>
    <definedName name="CO2_ProdCrewValue">'ECLSS Composition'!$M$23</definedName>
    <definedName name="CO2_RemovalToWasteLabel1">'ECLSS Composition'!$AA$9</definedName>
    <definedName name="CO2_RemovalToWasteLabel2">'ECLSS Composition'!$AG$5</definedName>
    <definedName name="CO2_RemovalToWasteValue1">'ECLSS Composition'!$Z$9</definedName>
    <definedName name="CO2_RemovalToWasteValue2">'ECLSS Composition'!$AF$5</definedName>
    <definedName name="Co2_Schedule2">'Schedule and Metabolic'!$C$129:$C$176</definedName>
    <definedName name="CO2_ToReductionValue">'ECLSS Composition'!$AB$10</definedName>
    <definedName name="CO2_ToVentValue">'ECLSS Composition'!$AE$7</definedName>
    <definedName name="CO2Legend">'ECLSS Composition'!$AB$42</definedName>
    <definedName name="CO2ToPBRValue">'ECLSS Composition'!$R$3</definedName>
    <definedName name="CO2toPlantsValue">'ECLSS Composition'!$I$13</definedName>
    <definedName name="Cooling">'MCA ESM'!$F:$F</definedName>
    <definedName name="Crew_Size">'User Interface'!$B$10</definedName>
    <definedName name="CrewFecesLabel">'ECLSS Composition'!$Q$29</definedName>
    <definedName name="CrewFecesValue">'ECLSS Composition'!$P$29</definedName>
    <definedName name="CrewUrineToPlantsValue">'ECLSS Composition'!$H$30</definedName>
    <definedName name="CrewUrineWithoutProcessing">'ECLSS Composition'!$P$30</definedName>
    <definedName name="CrewUrineWithoutProcessingLabel">'ECLSS Composition'!$Q$30</definedName>
    <definedName name="CrewUrineWithProcessing">'ECLSS Composition'!$M$29</definedName>
    <definedName name="CurrentPGCArea">'ECLSS Composition'!$D$14</definedName>
    <definedName name="CurrentPOI">'User Interface'!$B$16</definedName>
    <definedName name="DES_Function">'User Interface'!$M$10</definedName>
    <definedName name="ECLSS_Subs">'MCA ESM'!$B:$B</definedName>
    <definedName name="ECLSS_Type">'User Interface'!$B$13</definedName>
    <definedName name="ECLSS_Type_Comp">'ECLSS Composition'!$H$4</definedName>
    <definedName name="EdibleFromPlantsEnergyLabel">'ECLSS Composition'!$G$22</definedName>
    <definedName name="EdibleFromPlantsEnergyValue">'ECLSS Composition'!$E$22</definedName>
    <definedName name="EdibleFromPlantsLabel">'ECLSS Composition'!$G$21</definedName>
    <definedName name="EdibleFromPlantsLabel2">'ECLSS Composition'!$I$26</definedName>
    <definedName name="EdibleFromPlantsValue">'ECLSS Composition'!$F$21</definedName>
    <definedName name="EdibleFromPlantsValue2">'ECLSS Composition'!$H$26</definedName>
    <definedName name="EdibleFromPlantsWaterLabel">'ECLSS Composition'!$G$23</definedName>
    <definedName name="EdibleFromPlantsWaterValue">'ECLSS Composition'!$F$23</definedName>
    <definedName name="ESM_CoolingF">'User Interface'!$B$27</definedName>
    <definedName name="ESM_Crew_TimeF">'User Interface'!$B$28</definedName>
    <definedName name="ESM_LocationF">'User Interface'!$B$24</definedName>
    <definedName name="ESM_PowerF">'User Interface'!$B$26</definedName>
    <definedName name="ESM_VolumeF">'User Interface'!$B$25</definedName>
    <definedName name="ExcludeNotFittingType">'User Interface'!$F$33</definedName>
    <definedName name="ExcludePartialAlternatives">'User Interface'!$F$24</definedName>
    <definedName name="Feces_Schedule2">'Schedule and Metabolic'!$E$129:$E$176</definedName>
    <definedName name="Food_Schedule2">'Schedule and Metabolic'!$H$129:$H$176</definedName>
    <definedName name="FoodConCrewValue">'ECLSS Composition'!$H$25</definedName>
    <definedName name="FoodFromPBRValue">'ECLSS Composition'!$I$7</definedName>
    <definedName name="FoodPackagingValue">'ECLSS Composition'!$J$41</definedName>
    <definedName name="FromMethaneProcessingToVentLabel">'ECLSS Composition'!$AJ$11</definedName>
    <definedName name="FromMethaneProcessingToVentValue">'ECLSS Composition'!$AI$11</definedName>
    <definedName name="FromMethaneProcessingToWasteLabel">'ECLSS Composition'!$AK$34</definedName>
    <definedName name="FromMethaneProcessingToWasteValue">'ECLSS Composition'!$AJ$34</definedName>
    <definedName name="GreyWaterLegend">'ECLSS Composition'!$AE$41</definedName>
    <definedName name="H2_FromElectrolysisValue">'ECLSS Composition'!$X$19</definedName>
    <definedName name="H2_FromMethaneProcessingValue">'ECLSS Composition'!$AG$21</definedName>
    <definedName name="H2_ToCO2ReductionValue">'ECLSS Composition'!$AB$17</definedName>
    <definedName name="H2_ToVentValue">'ECLSS Composition'!$AL$13</definedName>
    <definedName name="H2Legend">'ECLSS Composition'!$AE$42</definedName>
    <definedName name="H2O_ConCrewValue">'ECLSS Composition'!$P$25</definedName>
    <definedName name="H2O_FoodConCrewValue">'ECLSS Composition'!$H$27</definedName>
    <definedName name="H2O_FromCO2ReductionValue">'ECLSS Composition'!$Z$27</definedName>
    <definedName name="H2O_FromCO2RemovalValue">'ECLSS Composition'!$Q$11</definedName>
    <definedName name="H2O_FromHumControlToCO2RemovalValue">'ECLSS Composition'!$Q$6</definedName>
    <definedName name="H2O_FromWWFiltValue">'ECLSS Composition'!$U$29</definedName>
    <definedName name="H2O_InediblePlantsLabel">'ECLSS Composition'!$D$34</definedName>
    <definedName name="H2O_InediblePlantsToFiltrationValue">'ECLSS Composition'!$X$34</definedName>
    <definedName name="H2O_InediblePlantsValue">'ECLSS Composition'!$D$35</definedName>
    <definedName name="H2O_ProdCrewValue">'ECLSS Composition'!$K$23</definedName>
    <definedName name="H2O_ToCO2ReductionValue">'ECLSS Composition'!$Z$25</definedName>
    <definedName name="H2O_ToCO2RemovalValue">'ECLSS Composition'!$X$17</definedName>
    <definedName name="H2O_ToElectrolysisValue">'ECLSS Composition'!$U$23</definedName>
    <definedName name="H2OfromPlantsValue">'ECLSS Composition'!$I$15</definedName>
    <definedName name="H2OLegend">'ECLSS Composition'!$AB$41</definedName>
    <definedName name="H2OtoPlantsValue">'ECLSS Composition'!$B$33</definedName>
    <definedName name="heat">schedule_compl[heat]</definedName>
    <definedName name="Heat_Schedule2">'Schedule and Metabolic'!$J$129:$J$176</definedName>
    <definedName name="HumControlToPlantsValue">'ECLSS Composition'!$D$11</definedName>
    <definedName name="HumControlToVentValue">'ECLSS Composition'!$X$4</definedName>
    <definedName name="HumControlToWasteValue">'ECLSS Composition'!$F$8</definedName>
    <definedName name="HumControlToWWFiltrationValue">'ECLSS Composition'!$G$8</definedName>
    <definedName name="Hygiene_Schedule2">'Schedule and Metabolic'!$G$129:$G$176</definedName>
    <definedName name="HygieneH2O_ConCrewValue">'ECLSS Composition'!$R$25</definedName>
    <definedName name="HygieneH2O_ProdCrewValue">'ECLSS Composition'!$Q$27</definedName>
    <definedName name="HygieneH2O_ProdCrewWithoutFiltrationLabel">'ECLSS Composition'!$Q$35</definedName>
    <definedName name="HygieneH2O_ProdCrewWithoutFiltrationValue">'ECLSS Composition'!$P$35</definedName>
    <definedName name="HygieneH2OCrewProdValue">'ECLSS Composition'!$Q$27</definedName>
    <definedName name="InedibleBiomassPBRValue">'ECLSS Composition'!$B$9</definedName>
    <definedName name="Maintenance">'MCA ESM'!$G:$G</definedName>
    <definedName name="Mass">'MCA ESM'!$C:$C</definedName>
    <definedName name="Mass_margin">'User Interface'!$I$22</definedName>
    <definedName name="Max_allowable_ppCO2">'Schedule and Metabolic'!$O$23</definedName>
    <definedName name="MAX_Cooling">'User Interface'!$K$13</definedName>
    <definedName name="MAX_Maintenance">'User Interface'!$K$14</definedName>
    <definedName name="MAX_Mass">'User Interface'!$K$10</definedName>
    <definedName name="MAX_Power">'User Interface'!$K$12</definedName>
    <definedName name="MAX_Volume">'User Interface'!$K$11</definedName>
    <definedName name="MCA_Ranking">'MCA ESM'!$K:$K</definedName>
    <definedName name="MCA_Value">'MCA ESM'!$J:$J</definedName>
    <definedName name="Metabolic_Values_up_to_date">'Schedule and Metabolic'!$O$21</definedName>
    <definedName name="Min_allowable_ppO2">'Schedule and Metabolic'!$O$24</definedName>
    <definedName name="MIN_Reliability">'User Interface'!$H$15</definedName>
    <definedName name="MIN_TRL">'User Interface'!$H$16</definedName>
    <definedName name="MiscLegend">'ECLSS Composition'!$AI$41</definedName>
    <definedName name="Mission_Duration" localSheetId="11">'[1]User Interface'!$B$11</definedName>
    <definedName name="Mission_Duration">'User Interface'!$B$11</definedName>
    <definedName name="N2_LeakageValue">'ECLSS Composition'!$P$19</definedName>
    <definedName name="NutrientsToPBRValue">'ECLSS Composition'!$C$11</definedName>
    <definedName name="NutrientsToPlantsLabel">'ECLSS Composition'!$D$21</definedName>
    <definedName name="NutrientsToPlantsValue">'ECLSS Composition'!$C$21</definedName>
    <definedName name="O2_ConCrewValue">'ECLSS Composition'!$O$23</definedName>
    <definedName name="O2_FromCO2ReductionValue">'ECLSS Composition'!$Y$13</definedName>
    <definedName name="O2_FromElectrolysisValue">'ECLSS Composition'!$U$17</definedName>
    <definedName name="O2_FromStorageValue">'ECLSS Composition'!$Q$13</definedName>
    <definedName name="O2_LeakageValue">'ECLSS Composition'!$P$18</definedName>
    <definedName name="O2_Schedule2">'Schedule and Metabolic'!$B$129:$B$176</definedName>
    <definedName name="O2_toIncinerationLabel">'ECLSS Composition'!$C$38</definedName>
    <definedName name="O2_toIncinerationValue">'ECLSS Composition'!$D$40</definedName>
    <definedName name="O2FromPBRValue">'ECLSS Composition'!$G$10</definedName>
    <definedName name="O2fromPlantsValue">'ECLSS Composition'!$I$17</definedName>
    <definedName name="O2Legend">'ECLSS Composition'!$AB$43</definedName>
    <definedName name="PlantWaterContentToCrew">'ECLSS Composition'!$H$28</definedName>
    <definedName name="PlantWaterContentToCrewLabel">'ECLSS Composition'!$I$28</definedName>
    <definedName name="PlantWaterContentToCrewLabel2">'ECLSS Composition'!$G$28</definedName>
    <definedName name="Potable_Schedule2">'Schedule and Metabolic'!$F$129:$F$176</definedName>
    <definedName name="Power">'MCA ESM'!$E:$E</definedName>
    <definedName name="Pressurized_Volume">'User Interface'!$B$14</definedName>
    <definedName name="Reliability">'MCA ESM'!$H:$H</definedName>
    <definedName name="Schedule_Number">'User Interface'!$B$12</definedName>
    <definedName name="Schedule_was_Checked">'Schedule and Metabolic'!$O$20</definedName>
    <definedName name="SUM_CO2_Production">schedule_compl[[#Totals],[CO2]]</definedName>
    <definedName name="SUM_CO2_Production_2">'Schedule and Metabolic'!$C$177</definedName>
    <definedName name="SUM_Feces_Production">schedule_compl[[#Totals],[feces]]</definedName>
    <definedName name="SUM_Feces_Production_2">'Schedule and Metabolic'!$E$177</definedName>
    <definedName name="SUM_Food_Need">schedule_compl[[#Totals],[food]]</definedName>
    <definedName name="SUM_Food_Need_2">'Schedule and Metabolic'!$H$177</definedName>
    <definedName name="SUM_Food_Water">'Schedule and Metabolic'!$W$16</definedName>
    <definedName name="SUM_Heat_Load">schedule_compl[[#Totals],[heat]]</definedName>
    <definedName name="SUM_Heat_Load_2">'Schedule and Metabolic'!$J$177</definedName>
    <definedName name="SUM_Hygiene_Solid_Waste">'Schedule and Metabolic'!$AC$16</definedName>
    <definedName name="SUM_Hygiene_Water_Need">schedule_compl[[#Totals],[hygiene]]</definedName>
    <definedName name="SUM_Hygiene_Water_Need_2">'Schedule and Metabolic'!$G$177</definedName>
    <definedName name="SUM_Metabolic_Water">'Schedule and Metabolic'!$Z$16</definedName>
    <definedName name="SUM_O2_Consumption">schedule_compl[[#Totals],[O2]]</definedName>
    <definedName name="SUM_O2_Consumption_2">'Schedule and Metabolic'!$B$177</definedName>
    <definedName name="SUM_Potable_Water_Need">schedule_compl[[#Totals],[potable]]</definedName>
    <definedName name="SUM_Potable_Water_Need_2">'Schedule and Metabolic'!$F$177</definedName>
    <definedName name="SUM_Sweat_Production">schedule_compl[[#Totals],[sweat]]</definedName>
    <definedName name="SUM_Sweat_Production_2">'Schedule and Metabolic'!$I$177</definedName>
    <definedName name="SUM_Urine_Production">schedule_compl[[#Totals],[urine]]</definedName>
    <definedName name="SUM_Urine_Production_2">'Schedule and Metabolic'!$D$177</definedName>
    <definedName name="SUM_Urine_Solid_Waste">'Schedule and Metabolic'!$AA$16</definedName>
    <definedName name="sweat">schedule_compl[sweat]</definedName>
    <definedName name="Sweat_Schedule2">'Schedule and Metabolic'!$I$129:$I$176</definedName>
    <definedName name="Sweat_Solid_Waste">'Schedule and Metabolic'!$AD$16</definedName>
    <definedName name="SystemLevelFilter">'User Interface'!$F$22</definedName>
    <definedName name="task_breakfast">'Schedule and Metabolic'!$N$12</definedName>
    <definedName name="task_dinner">'Schedule and Metabolic'!$N$14</definedName>
    <definedName name="task_excersise">'Schedule and Metabolic'!$N$10</definedName>
    <definedName name="task_hygiene">'Schedule and Metabolic'!$N$6</definedName>
    <definedName name="task_lunch">'Schedule and Metabolic'!$N$13</definedName>
    <definedName name="task_personal">'Schedule and Metabolic'!$N$8</definedName>
    <definedName name="task_postexcersise">'Schedule and Metabolic'!$N$11</definedName>
    <definedName name="task_postsleep">'Schedule and Metabolic'!$N$4</definedName>
    <definedName name="task_presleep">'Schedule and Metabolic'!$N$5</definedName>
    <definedName name="task_sleep">'Schedule and Metabolic'!$N$3</definedName>
    <definedName name="task_work">'Schedule and Metabolic'!$N$7</definedName>
    <definedName name="TRL">'MCA ESM'!$I:$I</definedName>
    <definedName name="Urine_Schedule2">'Schedule and Metabolic'!$D$129:$D$176</definedName>
    <definedName name="UrineProcesingPotableWater">'ECLSS Composition'!$R$29</definedName>
    <definedName name="UrineProcessingGreyWater">'ECLSS Composition'!$Q$31</definedName>
    <definedName name="UrineProcessingGreyWaterToWasteValue">'ECLSS Composition'!$P$31</definedName>
    <definedName name="UrineToPlantsLabel">'ECLSS Composition'!$D$22</definedName>
    <definedName name="UrineToPlantsValue">'ECLSS Composition'!$C$22</definedName>
    <definedName name="Volume">'MCA ESM'!$D:$D</definedName>
    <definedName name="Waste_FromPlantsLabel">'ECLSS Composition'!$D$31</definedName>
    <definedName name="Waste_FromPlantsValue">'ECLSS Composition'!$D$33</definedName>
    <definedName name="WaterFromPBRValue">'ECLSS Composition'!$A$7</definedName>
    <definedName name="WaterLegend">'ECLSS Composition'!$AB$41</definedName>
    <definedName name="WaterToPBRValue">'ECLSS Composition'!$J$5</definedName>
    <definedName name="WC_Cooling">'User Interface'!$E$13</definedName>
    <definedName name="WC_Maintenance">'User Interface'!$E$14</definedName>
    <definedName name="WC_Mass">'User Interface'!$E$10</definedName>
    <definedName name="WC_Power">'User Interface'!$E$12</definedName>
    <definedName name="WC_Reliability">'User Interface'!$E$15</definedName>
    <definedName name="WC_TRL">'User Interface'!$E$16</definedName>
    <definedName name="WC_Volume">'User Interface'!$E$11</definedName>
    <definedName name="WWFiltrationToWasteLabel">'ECLSS Composition'!$V$35</definedName>
    <definedName name="WWFiltrationToWasteValue">'ECLSS Composition'!$T$35</definedName>
    <definedName name="X">'User Interface'!$V:$V</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366" i="1" l="1"/>
  <c r="P366" i="1"/>
  <c r="M366" i="1"/>
  <c r="J366" i="1"/>
  <c r="J365" i="1"/>
  <c r="M365" i="1"/>
  <c r="P365" i="1"/>
  <c r="S365" i="1"/>
  <c r="S364" i="1"/>
  <c r="P364" i="1"/>
  <c r="M364" i="1"/>
  <c r="J364" i="1"/>
  <c r="V364" i="1"/>
  <c r="F75" i="7"/>
  <c r="F76" i="7" s="1"/>
  <c r="E75" i="7"/>
  <c r="E76" i="7" s="1"/>
  <c r="G75" i="7"/>
  <c r="G76" i="7" s="1"/>
  <c r="D75" i="7"/>
  <c r="D76" i="7" s="1"/>
  <c r="H75" i="7"/>
  <c r="H76" i="7" s="1"/>
  <c r="I75" i="7"/>
  <c r="I76" i="7" s="1"/>
  <c r="J75" i="7"/>
  <c r="J76" i="7" s="1"/>
  <c r="K75" i="7"/>
  <c r="K76" i="7" s="1"/>
  <c r="L75" i="7"/>
  <c r="L76" i="7" s="1"/>
  <c r="C75" i="7"/>
  <c r="C76" i="7" s="1"/>
  <c r="AD354" i="1"/>
  <c r="J362" i="1"/>
  <c r="X362" i="1"/>
  <c r="W18" i="1" l="1"/>
  <c r="AF82" i="1"/>
  <c r="AF51" i="1"/>
  <c r="AE46" i="1"/>
  <c r="X90" i="1"/>
  <c r="P90" i="1"/>
  <c r="S90" i="1"/>
  <c r="M90" i="1"/>
  <c r="J90" i="1"/>
  <c r="S91" i="1"/>
  <c r="P91" i="1" s="1"/>
  <c r="J91" i="1"/>
  <c r="L92" i="1"/>
  <c r="J92" i="1"/>
  <c r="X78" i="1"/>
  <c r="S78" i="1"/>
  <c r="P78" i="1"/>
  <c r="M78" i="1"/>
  <c r="J78" i="1"/>
  <c r="S82" i="1"/>
  <c r="P82" i="1"/>
  <c r="M82" i="1"/>
  <c r="J82" i="1"/>
  <c r="S50" i="1" l="1"/>
  <c r="P50" i="1"/>
  <c r="M50" i="1"/>
  <c r="J50" i="1"/>
  <c r="S18" i="1"/>
  <c r="P18" i="1"/>
  <c r="M18" i="1"/>
  <c r="J18" i="1"/>
  <c r="AF92" i="1" l="1"/>
  <c r="AF91" i="1"/>
  <c r="P103" i="7"/>
  <c r="Q103" i="7" s="1"/>
  <c r="X357" i="1"/>
  <c r="X358" i="1"/>
  <c r="X359" i="1"/>
  <c r="X360" i="1"/>
  <c r="X361" i="1"/>
  <c r="X363" i="1"/>
  <c r="AF361" i="1"/>
  <c r="P361" i="1"/>
  <c r="S361" i="1"/>
  <c r="M361" i="1"/>
  <c r="J361" i="1"/>
  <c r="AF363" i="1"/>
  <c r="S363" i="1"/>
  <c r="P363" i="1"/>
  <c r="M363" i="1"/>
  <c r="J363" i="1"/>
  <c r="AF362" i="1"/>
  <c r="AF360" i="1"/>
  <c r="AF359" i="1"/>
  <c r="S362" i="1"/>
  <c r="S360" i="1"/>
  <c r="S359" i="1"/>
  <c r="P362" i="1"/>
  <c r="P360" i="1"/>
  <c r="P359" i="1"/>
  <c r="M362" i="1"/>
  <c r="M360" i="1"/>
  <c r="M359" i="1"/>
  <c r="J360" i="1"/>
  <c r="X92" i="1" l="1"/>
  <c r="X91" i="1"/>
  <c r="J358" i="1" l="1"/>
  <c r="J359" i="1"/>
  <c r="J357" i="1"/>
  <c r="S358" i="1" l="1"/>
  <c r="S357" i="1"/>
  <c r="M358" i="1" l="1"/>
  <c r="H26" i="6" l="1"/>
  <c r="J41" i="6" l="1"/>
  <c r="H51" i="3" a="1"/>
  <c r="H51" i="3" s="1"/>
  <c r="W356" i="1" l="1"/>
  <c r="X356" i="1" s="1"/>
  <c r="L356" i="1"/>
  <c r="AF358" i="1"/>
  <c r="AE357" i="1"/>
  <c r="P358" i="1"/>
  <c r="V357" i="1"/>
  <c r="P357" i="1"/>
  <c r="AE356" i="1" l="1"/>
  <c r="U357" i="1"/>
  <c r="J356" i="1"/>
  <c r="Z12" i="3"/>
  <c r="V356" i="1" l="1"/>
  <c r="U356" i="1"/>
  <c r="AE84" i="1"/>
  <c r="J177" i="3" l="1"/>
  <c r="I177" i="3"/>
  <c r="H177" i="3"/>
  <c r="G177" i="3"/>
  <c r="F177" i="3"/>
  <c r="E177" i="3"/>
  <c r="D177" i="3"/>
  <c r="C177" i="3"/>
  <c r="B177" i="3"/>
  <c r="Z13" i="3" l="1"/>
  <c r="Z14" i="3"/>
  <c r="R6" i="3" l="1"/>
  <c r="AA6" i="3" s="1"/>
  <c r="R5" i="3"/>
  <c r="AA5" i="3" s="1"/>
  <c r="R4" i="3"/>
  <c r="AA4" i="3" s="1"/>
  <c r="AB5" i="3"/>
  <c r="AB7" i="3"/>
  <c r="AB8" i="3"/>
  <c r="AB10" i="3"/>
  <c r="AB11" i="3"/>
  <c r="AB12" i="3"/>
  <c r="AB13" i="3"/>
  <c r="AB14" i="3"/>
  <c r="AB3" i="3"/>
  <c r="AA7" i="3"/>
  <c r="AA8" i="3"/>
  <c r="AA10" i="3"/>
  <c r="AA11" i="3"/>
  <c r="AA12" i="3"/>
  <c r="AA13" i="3"/>
  <c r="AA14" i="3"/>
  <c r="AA3" i="3"/>
  <c r="AC5" i="3"/>
  <c r="AC7" i="3"/>
  <c r="AC8" i="3"/>
  <c r="AC10" i="3"/>
  <c r="AC12" i="3"/>
  <c r="AC4" i="3"/>
  <c r="AC3" i="3"/>
  <c r="W14" i="3"/>
  <c r="W13" i="3"/>
  <c r="W12" i="3"/>
  <c r="V14" i="3"/>
  <c r="V13" i="3"/>
  <c r="V12" i="3"/>
  <c r="U14" i="3"/>
  <c r="AC14" i="3" s="1"/>
  <c r="U13" i="3"/>
  <c r="AC13" i="3" s="1"/>
  <c r="U11" i="3"/>
  <c r="AC11" i="3" s="1"/>
  <c r="U6" i="3"/>
  <c r="AC6" i="3" s="1"/>
  <c r="S4" i="3"/>
  <c r="S6" i="3"/>
  <c r="AB6" i="3" s="1"/>
  <c r="L51" i="3" a="1"/>
  <c r="L51" i="3" s="1"/>
  <c r="K51" i="3" a="1"/>
  <c r="K51" i="3" s="1"/>
  <c r="J51" i="3" a="1"/>
  <c r="J51" i="3" s="1"/>
  <c r="I51" i="3" a="1"/>
  <c r="I51" i="3" s="1"/>
  <c r="G51" i="3" a="1"/>
  <c r="G51" i="3" s="1"/>
  <c r="F51" i="3" a="1"/>
  <c r="F51" i="3" s="1"/>
  <c r="E51" i="3" a="1"/>
  <c r="E51" i="3" s="1"/>
  <c r="D51" i="3" a="1"/>
  <c r="D51" i="3" s="1"/>
  <c r="W15" i="3" l="1"/>
  <c r="W16" i="3" a="1"/>
  <c r="W16" i="3" s="1"/>
  <c r="AB4" i="3"/>
  <c r="R15" i="3"/>
  <c r="AB15" i="3"/>
  <c r="O16" i="3"/>
  <c r="Z9" i="3"/>
  <c r="Y10" i="3"/>
  <c r="Y9" i="3"/>
  <c r="X10" i="3"/>
  <c r="AD10" i="3" s="1"/>
  <c r="X9" i="3"/>
  <c r="V9" i="3"/>
  <c r="V16" i="3" s="1" a="1"/>
  <c r="V16" i="3" s="1"/>
  <c r="G53" i="3" s="1"/>
  <c r="U9" i="3"/>
  <c r="AC9" i="3" s="1"/>
  <c r="AC16" i="3" s="1" a="1"/>
  <c r="AC16" i="3" s="1"/>
  <c r="T9" i="3"/>
  <c r="S9" i="3"/>
  <c r="AB9" i="3" s="1"/>
  <c r="R9" i="3"/>
  <c r="AA9" i="3" s="1"/>
  <c r="AA16" i="3" s="1" a="1"/>
  <c r="AA16" i="3" s="1"/>
  <c r="Q9" i="3"/>
  <c r="P9" i="3"/>
  <c r="U16" i="3" l="1" a="1"/>
  <c r="U16" i="3" s="1"/>
  <c r="R16" i="3" a="1"/>
  <c r="R16" i="3" s="1"/>
  <c r="S16" i="3" a="1"/>
  <c r="S16" i="3" s="1"/>
  <c r="AD9" i="3"/>
  <c r="AB16" i="3" a="1"/>
  <c r="AB16" i="3" s="1"/>
  <c r="C53" i="3" s="1"/>
  <c r="S92" i="1"/>
  <c r="P92" i="1" s="1"/>
  <c r="M92" i="1"/>
  <c r="L91" i="1"/>
  <c r="M91" i="1" s="1"/>
  <c r="AD355" i="1" l="1"/>
  <c r="C5" i="3" l="1"/>
  <c r="C50" i="3" l="1"/>
  <c r="C49" i="3"/>
  <c r="C48" i="3"/>
  <c r="C47" i="3"/>
  <c r="C46" i="3"/>
  <c r="C45" i="3"/>
  <c r="C44" i="3"/>
  <c r="C43" i="3"/>
  <c r="C42" i="3"/>
  <c r="C41" i="3"/>
  <c r="C40" i="3"/>
  <c r="C39" i="3"/>
  <c r="C38" i="3"/>
  <c r="C37" i="3"/>
  <c r="C36" i="3"/>
  <c r="C35" i="3"/>
  <c r="C34" i="3"/>
  <c r="C33" i="3"/>
  <c r="C32" i="3"/>
  <c r="C31" i="3"/>
  <c r="C30" i="3"/>
  <c r="C29" i="3"/>
  <c r="C28" i="3"/>
  <c r="C27" i="3"/>
  <c r="C26" i="3"/>
  <c r="C25" i="3"/>
  <c r="C24" i="3"/>
  <c r="C23" i="3"/>
  <c r="C22" i="3"/>
  <c r="C21" i="3"/>
  <c r="C20" i="3"/>
  <c r="C19" i="3"/>
  <c r="C18" i="3"/>
  <c r="C17" i="3"/>
  <c r="C16" i="3"/>
  <c r="C15" i="3"/>
  <c r="C14" i="3"/>
  <c r="C13" i="3"/>
  <c r="X14" i="3"/>
  <c r="AD14" i="3" s="1"/>
  <c r="Q14" i="3"/>
  <c r="P14" i="3"/>
  <c r="C12" i="3"/>
  <c r="X13" i="3"/>
  <c r="AD13" i="3" s="1"/>
  <c r="Q13" i="3"/>
  <c r="P13" i="3"/>
  <c r="C11" i="3"/>
  <c r="X12" i="3"/>
  <c r="AD12" i="3" s="1"/>
  <c r="Q12" i="3"/>
  <c r="P12" i="3"/>
  <c r="C10" i="3"/>
  <c r="Y11" i="3"/>
  <c r="Y16" i="3" s="1" a="1"/>
  <c r="Y16" i="3" s="1"/>
  <c r="X11" i="3"/>
  <c r="Q11" i="3"/>
  <c r="P11" i="3"/>
  <c r="C9" i="3"/>
  <c r="Q10" i="3"/>
  <c r="P10" i="3"/>
  <c r="C8" i="3"/>
  <c r="X8" i="3"/>
  <c r="AD8" i="3" s="1"/>
  <c r="Q8" i="3"/>
  <c r="P8" i="3"/>
  <c r="C7" i="3"/>
  <c r="X7" i="3"/>
  <c r="AD7" i="3" s="1"/>
  <c r="Q7" i="3"/>
  <c r="P7" i="3"/>
  <c r="C6" i="3"/>
  <c r="X6" i="3"/>
  <c r="AD6" i="3" s="1"/>
  <c r="Q6" i="3"/>
  <c r="P6" i="3"/>
  <c r="X5" i="3"/>
  <c r="AD5" i="3" s="1"/>
  <c r="Q5" i="3"/>
  <c r="P5" i="3"/>
  <c r="C4" i="3"/>
  <c r="X4" i="3"/>
  <c r="AD4" i="3" s="1"/>
  <c r="Q4" i="3"/>
  <c r="P4" i="3"/>
  <c r="C3" i="3"/>
  <c r="X3" i="3"/>
  <c r="Q3" i="3"/>
  <c r="P3" i="3"/>
  <c r="M351" i="1"/>
  <c r="J351" i="1"/>
  <c r="S344" i="1"/>
  <c r="P344" i="1"/>
  <c r="M344" i="1"/>
  <c r="J344" i="1"/>
  <c r="AB337" i="1"/>
  <c r="AB336" i="1"/>
  <c r="AB335" i="1"/>
  <c r="AB334" i="1"/>
  <c r="AB333" i="1"/>
  <c r="AB332" i="1"/>
  <c r="AB331" i="1"/>
  <c r="AB330" i="1"/>
  <c r="AB329" i="1"/>
  <c r="AB328" i="1"/>
  <c r="AB327" i="1"/>
  <c r="AB325" i="1"/>
  <c r="Y325" i="1"/>
  <c r="AB324" i="1"/>
  <c r="Y324" i="1"/>
  <c r="AB323" i="1"/>
  <c r="Y323" i="1"/>
  <c r="AB322" i="1"/>
  <c r="Y322" i="1"/>
  <c r="AB321" i="1"/>
  <c r="Y321" i="1"/>
  <c r="AB320" i="1"/>
  <c r="Y320" i="1"/>
  <c r="AB319" i="1"/>
  <c r="Y319" i="1"/>
  <c r="AB318" i="1"/>
  <c r="Y318" i="1"/>
  <c r="AB317" i="1"/>
  <c r="Y317" i="1"/>
  <c r="AB316" i="1"/>
  <c r="Y316" i="1"/>
  <c r="AB315" i="1"/>
  <c r="Y315" i="1"/>
  <c r="AB314" i="1"/>
  <c r="Y314" i="1"/>
  <c r="AB313" i="1"/>
  <c r="Y313" i="1"/>
  <c r="AB312" i="1"/>
  <c r="Y312" i="1"/>
  <c r="AB311" i="1"/>
  <c r="Y311" i="1"/>
  <c r="AB310" i="1"/>
  <c r="Y310" i="1"/>
  <c r="AB309" i="1"/>
  <c r="AB308" i="1"/>
  <c r="Y308" i="1"/>
  <c r="AB307" i="1"/>
  <c r="Y307" i="1"/>
  <c r="AB306" i="1"/>
  <c r="Y306" i="1"/>
  <c r="AB305" i="1"/>
  <c r="Y305" i="1"/>
  <c r="AB304" i="1"/>
  <c r="Y304" i="1"/>
  <c r="AB303" i="1"/>
  <c r="Y303" i="1"/>
  <c r="AB302" i="1"/>
  <c r="Y302" i="1"/>
  <c r="AB301" i="1"/>
  <c r="Y301" i="1"/>
  <c r="AB300" i="1"/>
  <c r="Y300" i="1"/>
  <c r="AB299" i="1"/>
  <c r="Y299" i="1"/>
  <c r="AB298" i="1"/>
  <c r="Y298" i="1"/>
  <c r="AB297" i="1"/>
  <c r="Y297" i="1"/>
  <c r="AB296" i="1"/>
  <c r="Y296" i="1"/>
  <c r="AB295" i="1"/>
  <c r="Y295" i="1"/>
  <c r="AB294" i="1"/>
  <c r="Y294" i="1"/>
  <c r="AB293" i="1"/>
  <c r="AB292" i="1"/>
  <c r="Y292" i="1"/>
  <c r="AB291" i="1"/>
  <c r="Y291" i="1"/>
  <c r="AB290" i="1"/>
  <c r="Y290" i="1"/>
  <c r="AB289" i="1"/>
  <c r="Y289" i="1"/>
  <c r="AB288" i="1"/>
  <c r="Y288" i="1"/>
  <c r="AB287" i="1"/>
  <c r="Y287" i="1"/>
  <c r="AB286" i="1"/>
  <c r="Y286" i="1"/>
  <c r="AB285" i="1"/>
  <c r="Y285" i="1"/>
  <c r="AB284" i="1"/>
  <c r="Y284" i="1"/>
  <c r="AB283" i="1"/>
  <c r="Y283" i="1"/>
  <c r="AB282" i="1"/>
  <c r="Y282" i="1"/>
  <c r="AB281" i="1"/>
  <c r="Y281" i="1"/>
  <c r="AB280" i="1"/>
  <c r="AB279" i="1"/>
  <c r="AB278" i="1"/>
  <c r="AB277" i="1"/>
  <c r="AB276" i="1"/>
  <c r="AB275" i="1"/>
  <c r="AB274" i="1"/>
  <c r="AB273" i="1"/>
  <c r="AB272" i="1"/>
  <c r="AB271" i="1"/>
  <c r="AB270" i="1"/>
  <c r="AB269" i="1"/>
  <c r="AB268" i="1"/>
  <c r="AB267" i="1"/>
  <c r="AB266" i="1"/>
  <c r="AB265" i="1"/>
  <c r="AB264" i="1"/>
  <c r="AB263" i="1"/>
  <c r="AB262" i="1"/>
  <c r="AB261" i="1"/>
  <c r="AB260" i="1"/>
  <c r="AB259" i="1"/>
  <c r="AB258" i="1"/>
  <c r="AB257" i="1"/>
  <c r="AB256" i="1"/>
  <c r="AB255" i="1"/>
  <c r="AB254" i="1"/>
  <c r="Y254" i="1"/>
  <c r="AB253" i="1"/>
  <c r="Y253" i="1"/>
  <c r="AB252" i="1"/>
  <c r="Y252" i="1"/>
  <c r="AB251" i="1"/>
  <c r="Y251" i="1"/>
  <c r="AB250" i="1"/>
  <c r="Y250" i="1"/>
  <c r="Y249" i="1"/>
  <c r="AB248" i="1"/>
  <c r="Y248" i="1"/>
  <c r="AB247" i="1"/>
  <c r="Y247" i="1"/>
  <c r="AB246" i="1"/>
  <c r="Y246" i="1"/>
  <c r="AB245" i="1"/>
  <c r="Y245" i="1"/>
  <c r="AB244" i="1"/>
  <c r="Y244" i="1"/>
  <c r="AB243" i="1"/>
  <c r="Y243" i="1"/>
  <c r="AB242" i="1"/>
  <c r="Y242" i="1"/>
  <c r="AB241" i="1"/>
  <c r="Y241" i="1"/>
  <c r="AB240" i="1"/>
  <c r="Y240" i="1"/>
  <c r="AB239" i="1"/>
  <c r="AB238" i="1"/>
  <c r="AB237" i="1"/>
  <c r="AB236" i="1"/>
  <c r="AB235" i="1"/>
  <c r="AB234" i="1"/>
  <c r="AB233" i="1"/>
  <c r="AB232" i="1"/>
  <c r="AB231" i="1"/>
  <c r="AB230" i="1"/>
  <c r="AB229" i="1"/>
  <c r="AB228" i="1"/>
  <c r="AB227" i="1"/>
  <c r="AB226" i="1"/>
  <c r="AB224" i="1"/>
  <c r="AB223" i="1"/>
  <c r="AB222" i="1"/>
  <c r="AB221" i="1"/>
  <c r="AB220" i="1"/>
  <c r="AB219" i="1"/>
  <c r="AB218" i="1"/>
  <c r="AB217" i="1"/>
  <c r="AB216" i="1"/>
  <c r="AB215" i="1"/>
  <c r="AB214" i="1"/>
  <c r="AB213" i="1"/>
  <c r="AB212" i="1"/>
  <c r="AB211" i="1"/>
  <c r="AB210" i="1"/>
  <c r="AB209" i="1"/>
  <c r="AB208" i="1"/>
  <c r="AB207" i="1"/>
  <c r="AB206" i="1"/>
  <c r="AB205" i="1"/>
  <c r="AB204" i="1"/>
  <c r="AB203" i="1"/>
  <c r="AB202" i="1"/>
  <c r="AB201" i="1"/>
  <c r="AB200" i="1"/>
  <c r="AB199" i="1"/>
  <c r="AB198" i="1"/>
  <c r="AB197" i="1"/>
  <c r="AB196" i="1"/>
  <c r="AB195" i="1"/>
  <c r="AB194" i="1"/>
  <c r="AB193" i="1"/>
  <c r="AB192" i="1"/>
  <c r="AB191" i="1"/>
  <c r="AB190" i="1"/>
  <c r="AB188" i="1"/>
  <c r="AB187" i="1"/>
  <c r="AB186" i="1"/>
  <c r="AB185" i="1"/>
  <c r="AB184" i="1"/>
  <c r="AB182" i="1"/>
  <c r="AB179" i="1"/>
  <c r="AB178" i="1"/>
  <c r="AB177" i="1"/>
  <c r="AB176" i="1"/>
  <c r="AB173" i="1"/>
  <c r="AB172" i="1"/>
  <c r="AB171" i="1"/>
  <c r="AB170" i="1"/>
  <c r="AB169" i="1"/>
  <c r="AB168" i="1"/>
  <c r="AB167" i="1"/>
  <c r="AB166" i="1"/>
  <c r="AB165" i="1"/>
  <c r="AB164" i="1"/>
  <c r="AB163" i="1"/>
  <c r="AB162" i="1"/>
  <c r="AB160" i="1"/>
  <c r="AB159" i="1"/>
  <c r="AB158" i="1"/>
  <c r="AB157" i="1"/>
  <c r="AB156" i="1"/>
  <c r="AB155" i="1"/>
  <c r="AB154" i="1"/>
  <c r="AB153" i="1"/>
  <c r="AB152" i="1"/>
  <c r="AB151" i="1"/>
  <c r="AB150" i="1"/>
  <c r="AB149" i="1"/>
  <c r="AB148" i="1"/>
  <c r="AB147" i="1"/>
  <c r="AB146" i="1"/>
  <c r="AB145" i="1"/>
  <c r="AB144" i="1"/>
  <c r="AB143" i="1"/>
  <c r="M142" i="1"/>
  <c r="J142" i="1"/>
  <c r="AB141" i="1"/>
  <c r="AB139" i="1"/>
  <c r="Y139" i="1"/>
  <c r="M138" i="1"/>
  <c r="J138" i="1"/>
  <c r="S137" i="1"/>
  <c r="M136" i="1"/>
  <c r="AB135" i="1"/>
  <c r="Y135" i="1"/>
  <c r="AB134" i="1"/>
  <c r="AB133" i="1"/>
  <c r="Y133" i="1"/>
  <c r="S133" i="1"/>
  <c r="P133" i="1" s="1"/>
  <c r="AB132" i="1"/>
  <c r="Y132" i="1"/>
  <c r="AB131" i="1"/>
  <c r="Y131" i="1"/>
  <c r="AB130" i="1"/>
  <c r="Y130" i="1"/>
  <c r="Y129" i="1"/>
  <c r="AB128" i="1"/>
  <c r="X128" i="1"/>
  <c r="P128" i="1"/>
  <c r="O128" i="1"/>
  <c r="I125" i="1"/>
  <c r="AB104" i="1"/>
  <c r="M104" i="1"/>
  <c r="J104" i="1"/>
  <c r="AE103" i="1"/>
  <c r="S100" i="1"/>
  <c r="P100" i="1"/>
  <c r="M100" i="1"/>
  <c r="J100" i="1"/>
  <c r="AB98" i="1"/>
  <c r="AB96" i="1"/>
  <c r="P96" i="1"/>
  <c r="J96" i="1"/>
  <c r="AE119" i="1"/>
  <c r="AE88" i="1"/>
  <c r="Y87" i="1"/>
  <c r="AE86" i="1"/>
  <c r="AB86" i="1"/>
  <c r="R86" i="1"/>
  <c r="S86" i="1" s="1"/>
  <c r="AB84" i="1"/>
  <c r="AB82" i="1"/>
  <c r="AB80" i="1"/>
  <c r="S80" i="1"/>
  <c r="M80" i="1"/>
  <c r="J80" i="1"/>
  <c r="R79" i="1"/>
  <c r="AE77" i="1"/>
  <c r="R72" i="1"/>
  <c r="L72" i="1"/>
  <c r="M72" i="1" s="1"/>
  <c r="I72" i="1"/>
  <c r="M69" i="1"/>
  <c r="L69" i="1"/>
  <c r="AB64" i="1"/>
  <c r="BC63" i="1"/>
  <c r="AB60" i="1"/>
  <c r="AB58" i="1"/>
  <c r="AE52" i="1"/>
  <c r="AB51" i="1"/>
  <c r="S51" i="1"/>
  <c r="P51" i="1"/>
  <c r="M51" i="1"/>
  <c r="AB50" i="1"/>
  <c r="S46" i="1"/>
  <c r="P46" i="1" s="1"/>
  <c r="M46" i="1"/>
  <c r="J46" i="1"/>
  <c r="AE45" i="1"/>
  <c r="R45" i="1"/>
  <c r="S45" i="1" s="1"/>
  <c r="P45" i="1" s="1"/>
  <c r="L45" i="1"/>
  <c r="M45" i="1" s="1"/>
  <c r="J45" i="1"/>
  <c r="I45" i="1"/>
  <c r="AB44" i="1"/>
  <c r="S42" i="1"/>
  <c r="P42" i="1"/>
  <c r="M42" i="1"/>
  <c r="J42" i="1"/>
  <c r="AB41" i="1"/>
  <c r="AB40" i="1"/>
  <c r="BC39" i="1"/>
  <c r="M39" i="1"/>
  <c r="J39" i="1"/>
  <c r="AB38" i="1"/>
  <c r="M37" i="1"/>
  <c r="J37" i="1"/>
  <c r="M27" i="1"/>
  <c r="J27" i="1"/>
  <c r="AB24" i="1"/>
  <c r="AB18" i="1"/>
  <c r="Y18" i="1"/>
  <c r="AE16" i="1"/>
  <c r="AB15" i="1"/>
  <c r="M15" i="1"/>
  <c r="BC14" i="1"/>
  <c r="M12" i="1"/>
  <c r="AE11" i="1"/>
  <c r="AB11" i="1"/>
  <c r="AE9" i="1"/>
  <c r="AB9" i="1"/>
  <c r="AE5" i="1"/>
  <c r="AE4" i="1"/>
  <c r="AD3" i="1"/>
  <c r="AE3" i="1" s="1"/>
  <c r="J137" i="1" l="1"/>
  <c r="AD11" i="3"/>
  <c r="T11" i="3" a="1"/>
  <c r="T11" i="3" s="1"/>
  <c r="T13" i="3" a="1"/>
  <c r="T13" i="3" s="1"/>
  <c r="T14" i="3" a="1"/>
  <c r="T14" i="3" s="1"/>
  <c r="T12" i="3" a="1"/>
  <c r="T12" i="3" s="1"/>
  <c r="AD3" i="3"/>
  <c r="X16" i="3" a="1"/>
  <c r="X16" i="3" s="1"/>
  <c r="P16" i="3" a="1"/>
  <c r="P16" i="3" s="1"/>
  <c r="Q16" i="3" a="1"/>
  <c r="Q16" i="3" s="1"/>
  <c r="V15" i="3"/>
  <c r="AA15" i="3"/>
  <c r="P15" i="3"/>
  <c r="S15" i="3"/>
  <c r="Q15" i="3"/>
  <c r="Y15" i="3"/>
  <c r="X15" i="3"/>
  <c r="U15" i="3"/>
  <c r="M137" i="1"/>
  <c r="AC15" i="3"/>
  <c r="AD16" i="3" l="1" a="1"/>
  <c r="AD16" i="3" s="1"/>
  <c r="AD15" i="3"/>
  <c r="AE38" i="1" l="1"/>
  <c r="L86" i="1" l="1"/>
  <c r="M86" i="1" s="1"/>
  <c r="I86" i="1"/>
  <c r="J86" i="1" s="1"/>
  <c r="Z15" i="3"/>
  <c r="T16" i="3" l="1" a="1"/>
  <c r="T16" i="3" s="1"/>
  <c r="O19" i="3" s="1"/>
  <c r="T15"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Andreas</author>
  </authors>
  <commentList>
    <comment ref="AB5" authorId="0" shapeId="0" xr:uid="{00000000-0006-0000-0100-000001000000}">
      <text>
        <r>
          <rPr>
            <b/>
            <sz val="9"/>
            <color indexed="81"/>
            <rFont val="Segoe UI"/>
            <family val="2"/>
          </rPr>
          <t>Andreas:</t>
        </r>
        <r>
          <rPr>
            <sz val="9"/>
            <color indexed="81"/>
            <rFont val="Segoe UI"/>
            <family val="2"/>
          </rPr>
          <t xml:space="preserve">
relatively high, likely driven by compressor, slurper, fan and valves mean for WRM</t>
        </r>
      </text>
    </comment>
    <comment ref="AB350" authorId="0" shapeId="0" xr:uid="{00000000-0006-0000-0100-000002000000}">
      <text>
        <r>
          <rPr>
            <b/>
            <sz val="9"/>
            <color indexed="81"/>
            <rFont val="Segoe UI"/>
            <family val="2"/>
          </rPr>
          <t>Andreas:</t>
        </r>
        <r>
          <rPr>
            <sz val="9"/>
            <color indexed="81"/>
            <rFont val="Segoe UI"/>
            <family val="2"/>
          </rPr>
          <t xml:space="preserve">
Shortest lifetime item is commercial pump with 17000 h</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tc={26B855B8-E77B-4F11-A051-74ECE66495B3}</author>
  </authors>
  <commentList>
    <comment ref="I2" authorId="0" shapeId="0" xr:uid="{26B855B8-E77B-4F11-A051-74ECE66495B3}">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Update data with bvad</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H1" authorId="0" shapeId="0" xr:uid="{00000000-0006-0000-0A00-000001000000}">
      <text>
        <r>
          <rPr>
            <b/>
            <sz val="9"/>
            <color indexed="81"/>
            <rFont val="Segoe UI"/>
            <family val="2"/>
          </rPr>
          <t>Autor:</t>
        </r>
        <r>
          <rPr>
            <sz val="9"/>
            <color indexed="81"/>
            <rFont val="Segoe UI"/>
            <family val="2"/>
          </rPr>
          <t xml:space="preserve">
A hardware/software grouping that performs related functions across or within elements, such as ECLS or power distribution</t>
        </r>
      </text>
    </comment>
    <comment ref="H2" authorId="0" shapeId="0" xr:uid="{00000000-0006-0000-0A00-000002000000}">
      <text>
        <r>
          <rPr>
            <b/>
            <sz val="9"/>
            <color indexed="81"/>
            <rFont val="Segoe UI"/>
            <family val="2"/>
          </rPr>
          <t>Autor:</t>
        </r>
        <r>
          <rPr>
            <sz val="9"/>
            <color indexed="81"/>
            <rFont val="Segoe UI"/>
            <family val="2"/>
          </rPr>
          <t xml:space="preserve">
A group of related assemblies performing interconnected functions, such as atmospheric revitalization or water recovery and managment. A subsystem may be packaged in a single rack</t>
        </r>
      </text>
    </comment>
    <comment ref="H3" authorId="0" shapeId="0" xr:uid="{00000000-0006-0000-0A00-000003000000}">
      <text>
        <r>
          <rPr>
            <b/>
            <sz val="9"/>
            <color indexed="81"/>
            <rFont val="Segoe UI"/>
            <family val="2"/>
          </rPr>
          <t>Autor:</t>
        </r>
        <r>
          <rPr>
            <sz val="9"/>
            <color indexed="81"/>
            <rFont val="Segoe UI"/>
            <family val="2"/>
          </rPr>
          <t xml:space="preserve">
A group or related components performing a specific function, such as CO2 removal or water processing, sometimes referred to as a subassembly</t>
        </r>
      </text>
    </comment>
    <comment ref="H4" authorId="0" shapeId="0" xr:uid="{00000000-0006-0000-0A00-000004000000}">
      <text>
        <r>
          <rPr>
            <b/>
            <sz val="9"/>
            <color indexed="81"/>
            <rFont val="Segoe UI"/>
            <family val="2"/>
          </rPr>
          <t>Autor:</t>
        </r>
        <r>
          <rPr>
            <sz val="9"/>
            <color indexed="81"/>
            <rFont val="Segoe UI"/>
            <family val="2"/>
          </rPr>
          <t xml:space="preserve">
A functional unit made up of parts, such as a pump or blower</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<sst xmlns="http://schemas.openxmlformats.org/spreadsheetml/2006/main" count="7474" uniqueCount="2210">
  <si>
    <t>trace from</t>
  </si>
  <si>
    <t>TRL</t>
  </si>
  <si>
    <t>ESM</t>
  </si>
  <si>
    <t>Safety</t>
  </si>
  <si>
    <t>principial chemical equation</t>
  </si>
  <si>
    <t>inflow [kg/day] gas, liquid, solid</t>
  </si>
  <si>
    <t>inflow composition gas, liquid, solid</t>
  </si>
  <si>
    <t>outflow [kg/day] gas, liquid, solid</t>
  </si>
  <si>
    <t>outflow composition gas, liquid, solid</t>
  </si>
  <si>
    <t>source</t>
  </si>
  <si>
    <t>notes</t>
  </si>
  <si>
    <t>function1</t>
  </si>
  <si>
    <t>function2</t>
  </si>
  <si>
    <t>function3</t>
  </si>
  <si>
    <t>function4</t>
  </si>
  <si>
    <t>function5</t>
  </si>
  <si>
    <t>function6</t>
  </si>
  <si>
    <t>function7</t>
  </si>
  <si>
    <t>function8</t>
  </si>
  <si>
    <t>function9</t>
  </si>
  <si>
    <t>function10</t>
  </si>
  <si>
    <r>
      <t xml:space="preserve">Activated Charcoal Bed </t>
    </r>
    <r>
      <rPr>
        <b/>
        <sz val="11"/>
        <color theme="1"/>
        <rFont val="Calibri"/>
        <family val="2"/>
        <scheme val="minor"/>
      </rPr>
      <t>CBA</t>
    </r>
  </si>
  <si>
    <t>air-AR</t>
  </si>
  <si>
    <t>control</t>
  </si>
  <si>
    <t>non regenerable</t>
  </si>
  <si>
    <t>TCCS</t>
  </si>
  <si>
    <t>component</t>
  </si>
  <si>
    <t>&lt;100</t>
  </si>
  <si>
    <t>passive operation</t>
  </si>
  <si>
    <t>saturation (only slow)</t>
  </si>
  <si>
    <t>Safe</t>
  </si>
  <si>
    <t>10; 21
13</t>
  </si>
  <si>
    <t>on ISS</t>
  </si>
  <si>
    <t>CO2 removal</t>
  </si>
  <si>
    <t>regenerable</t>
  </si>
  <si>
    <t>assembly</t>
  </si>
  <si>
    <t>180
180
329+219</t>
  </si>
  <si>
    <t>1400 - 1600
1100</t>
  </si>
  <si>
    <t>vacuum required for insulation between foils</t>
  </si>
  <si>
    <t xml:space="preserve">
3</t>
  </si>
  <si>
    <t>consumable very small</t>
  </si>
  <si>
    <t>heat loss
forced air cooling of CFR tube and seals
multifoil insulation requires vacuum to minimize heat loss</t>
  </si>
  <si>
    <t>reliable CFR end seals
control to maintain H2/CO2 ratio</t>
  </si>
  <si>
    <t>Safe, but high heat must be safed operated</t>
  </si>
  <si>
    <t>CH4 -&gt; C(s)+2H2</t>
  </si>
  <si>
    <t>1
34</t>
  </si>
  <si>
    <t>water-WRM</t>
  </si>
  <si>
    <t>distillation</t>
  </si>
  <si>
    <t>WRS</t>
  </si>
  <si>
    <t xml:space="preserve">
852
1570
0</t>
  </si>
  <si>
    <t>315
2270
1570
3330</t>
  </si>
  <si>
    <t>280 - 333
333 nominal</t>
  </si>
  <si>
    <t xml:space="preserve">100
</t>
  </si>
  <si>
    <t>5
5
5</t>
  </si>
  <si>
    <r>
      <t xml:space="preserve">Wick evaporator design most allow ready acces to wick unit for periodic replacment; efficient packaging and sealing of dried, spent wicks for disposal due to foul smell
</t>
    </r>
    <r>
      <rPr>
        <b/>
        <sz val="11"/>
        <color theme="1"/>
        <rFont val="Calibri"/>
        <family val="2"/>
        <scheme val="minor"/>
      </rPr>
      <t xml:space="preserve">less than mean for WRM
</t>
    </r>
    <r>
      <rPr>
        <sz val="11"/>
        <color theme="1"/>
        <rFont val="Calibri"/>
        <family val="2"/>
        <scheme val="minor"/>
      </rPr>
      <t>207h for 500 days</t>
    </r>
  </si>
  <si>
    <t>nearly complete water recovery
simple device
insensitive to feed stocks
operates at ambient internal pressure (easy sealing)
operates either intermittently or continuously</t>
  </si>
  <si>
    <t>enery intensive
large logistics resupply requirement (mass and volume of wicks)
requires pretreatment of urine solution</t>
  </si>
  <si>
    <t>regenerable wicks
increasing wicking effectivness
increased degree of energy recovery
building of an engineering dev unit</t>
  </si>
  <si>
    <t>Safe, when closed cycle is used and pretreatment of urine</t>
  </si>
  <si>
    <t>1
13
34
48
51</t>
  </si>
  <si>
    <t xml:space="preserve">
D=-1;Dev cost=63$M</t>
  </si>
  <si>
    <t>Artificial gill</t>
  </si>
  <si>
    <t>O2 generation</t>
  </si>
  <si>
    <t>O2 is extracted directly from air using regenerative O2 binding organometallic compounds such as hemoglobin. Would be ideal for collecting O2 from a plant growth chamber or Mars atmosphere.</t>
  </si>
  <si>
    <t>early stages of development</t>
  </si>
  <si>
    <r>
      <t xml:space="preserve">Atmospheric pressure control </t>
    </r>
    <r>
      <rPr>
        <b/>
        <sz val="11"/>
        <color theme="1"/>
        <rFont val="Calibri"/>
        <family val="2"/>
        <scheme val="minor"/>
      </rPr>
      <t>ACS</t>
    </r>
  </si>
  <si>
    <t>air-ACS</t>
  </si>
  <si>
    <t>sub-system</t>
  </si>
  <si>
    <t>ACS</t>
  </si>
  <si>
    <r>
      <t xml:space="preserve">Avionics Air Assembly </t>
    </r>
    <r>
      <rPr>
        <b/>
        <sz val="11"/>
        <color theme="1"/>
        <rFont val="Calibri"/>
        <family val="2"/>
        <scheme val="minor"/>
      </rPr>
      <t>AAA</t>
    </r>
  </si>
  <si>
    <t>air-THC</t>
  </si>
  <si>
    <t xml:space="preserve">
175</t>
  </si>
  <si>
    <t>175
175
94 (94 standby)</t>
  </si>
  <si>
    <t>10
14
56</t>
  </si>
  <si>
    <r>
      <t xml:space="preserve">Bacteria Filter Assembly </t>
    </r>
    <r>
      <rPr>
        <b/>
        <sz val="11"/>
        <color theme="1"/>
        <rFont val="Calibri"/>
        <family val="2"/>
        <scheme val="minor"/>
      </rPr>
      <t>BFE</t>
    </r>
  </si>
  <si>
    <t>13 bacteria filter elements (BFE) are included in the USOS ventilation system. 6 in Destiny, 4 in Unity, and 3 in Quest. Flowrates are 113 m³/h, 127 m³/h, and 85 m³/h. Each BFE consists of pleated borosilicate HEPA media containing 0.3-μm pores mounted in arectangular aluminum frame. Each BFE slides into a housing that acts as the interface to the ventilation system. The filter media is rated at 99.97-percent efficiency for 0.3-μm-diameter particles. The crew periodically removes the lint and large debris from the filter face as part of the in-flight preventive maintenance program. Because lint buildup contributes significantly to overall pressure drop, this preventive maintenance helps manage the rising rate of pressure drop. According to design specification, a clean BFE is designed to have no more than 82.2 Pa (0.33 in water (H2O)) pressure drop at 113 m3/hr (66.7 ft3/min) flow rate. At the end-of-life pressure drop of 124 Pa (0.5 in H2O), each filter must be able to load with 32 g of PM. Each BFE is valued at $25.000.</t>
  </si>
  <si>
    <t>9
9</t>
  </si>
  <si>
    <t>periotical remove of lint (assuming 2h/week); changeout of filter all 2 years of operation</t>
  </si>
  <si>
    <t>longer operationtime
decrease in unit cost</t>
  </si>
  <si>
    <t>10
22
23
34</t>
  </si>
  <si>
    <t>on ISS; pressure dropless than 0,08 kPa @113,3m³/hr(1889L/min)</t>
  </si>
  <si>
    <t>Blower</t>
  </si>
  <si>
    <r>
      <t xml:space="preserve">Bosch Reactor </t>
    </r>
    <r>
      <rPr>
        <b/>
        <sz val="11"/>
        <color theme="1"/>
        <rFont val="Calibri"/>
        <family val="2"/>
        <scheme val="minor"/>
      </rPr>
      <t>BR</t>
    </r>
  </si>
  <si>
    <t>CO2 reacts with H2 at 700-1000K in presence of a catalyst, produces solid C and potable H2O and heat. Activated steel wool is generally used as catalyst. Better catalyst (Ni, Ni/Fe, Ru/Fe) are in development to increase efficiency and lower reactor T. Single-Pass has only 10% efficiency, so recycle mode must used. reactant molar H2:CO2 ratio should 2:1. periodic replacement of catalyst is necessary due solid C deposits. Chemical reactions in Bosch process can separated into low and high T. So better use two reactors in series. Also efficiency can increased by operating over a range of T, since optimum T changes as carbon in deposited. Use of CO2 laser would improve reduction reacion. 20 man-day per cartridge. second data is for theoretical processing of 1kg/s CO2 (three compressors) [19], third per kg-day of CO2 removal [27], unknown [13], crew of 6 for 400 days [34]</t>
  </si>
  <si>
    <t>239
162
1650
950
242</t>
  </si>
  <si>
    <t>800 - 1000
922 nominal
1303
700-1000</t>
  </si>
  <si>
    <t>6
6
4</t>
  </si>
  <si>
    <t>8 min per cartidge assumed, holds 20 CM-d</t>
  </si>
  <si>
    <t>no overboad venting
100% conversion efficiency</t>
  </si>
  <si>
    <t>high maintance (replacment of catalyst beds)
semi-batch operation of catlyst beds
hight operating temperature</t>
  </si>
  <si>
    <t>structural integrity of ceramic heat exchanger
recyclability of catalyst beds
cold seal reactor volume reduction</t>
  </si>
  <si>
    <t>Safe, but concernes about high heat</t>
  </si>
  <si>
    <t>CO2+2H2-&gt;C+2H2O+heat</t>
  </si>
  <si>
    <t>0,145 gas
(0,025 liquid)</t>
  </si>
  <si>
    <t>54,5 % H2 (-H2)
45,4 % CO2
0,1 % N
(H2O)</t>
  </si>
  <si>
    <t>0,009 gas
0,102 liquid
0,0034 solid</t>
  </si>
  <si>
    <t>6,3 % N (O2)
70,3 % H2O (-H2O)
23,4 % C</t>
  </si>
  <si>
    <t>1
19
27
13
34
26</t>
  </si>
  <si>
    <t>fourth technical data for comparison with co-electroylysis and sabatier (includes electrolysis for O2 generation)</t>
  </si>
  <si>
    <t>Cabin Diffuser Assembly</t>
  </si>
  <si>
    <t>Cabin pressure sensor</t>
  </si>
  <si>
    <t>monitor</t>
  </si>
  <si>
    <t>PCP</t>
  </si>
  <si>
    <t>on ISS; accuracy = 2,413 kPa</t>
  </si>
  <si>
    <t>Safe, but vacuum leakage must prevented as much as possible</t>
  </si>
  <si>
    <t>45; 50</t>
  </si>
  <si>
    <t>Catalyst Element Assembly</t>
  </si>
  <si>
    <t>10
13</t>
  </si>
  <si>
    <t>on ISS; pressure drop nearly linear from 0,05 kPa at 34 m³/hr to 0,249 kPa at 85m³/hr up to 0,45 kPa at 119 m³/hr [33]</t>
  </si>
  <si>
    <r>
      <t xml:space="preserve">Catalytic Oxidizer Assembly </t>
    </r>
    <r>
      <rPr>
        <b/>
        <sz val="11"/>
        <color theme="1"/>
        <rFont val="Calibri"/>
        <family val="2"/>
        <scheme val="minor"/>
      </rPr>
      <t>COA</t>
    </r>
  </si>
  <si>
    <t>insulation</t>
  </si>
  <si>
    <t>673 (811 max)</t>
  </si>
  <si>
    <t>connector seals can easily be changed; replaced each entire year of service [10]</t>
  </si>
  <si>
    <t>no maintance needed and high reliability</t>
  </si>
  <si>
    <t>10; 21</t>
  </si>
  <si>
    <r>
      <t xml:space="preserve">CO2 electrolysis </t>
    </r>
    <r>
      <rPr>
        <b/>
        <sz val="11"/>
        <color theme="1"/>
        <rFont val="Calibri"/>
        <family val="2"/>
        <scheme val="minor"/>
      </rPr>
      <t>COE</t>
    </r>
  </si>
  <si>
    <t>CO2 reduction</t>
  </si>
  <si>
    <t>800 - 1200</t>
  </si>
  <si>
    <t>dual purbose of CO2 reduction and O2 production</t>
  </si>
  <si>
    <t>high process T
ceramic-to-ceramic seals
possible CO leakage hazard</t>
  </si>
  <si>
    <t>CO2+H2O -&gt; CO+O2+H2
2CO -&gt; C+CO2</t>
  </si>
  <si>
    <t>1 gas
0,969 or 0 liquid</t>
  </si>
  <si>
    <t>CO2
H2O</t>
  </si>
  <si>
    <t>(1,567 or 0,727) + x gas
solid</t>
  </si>
  <si>
    <t>O2 + CH4 + H2
C</t>
  </si>
  <si>
    <t>1; 19
13
34</t>
  </si>
  <si>
    <t>technical data for comparison with sabatier and bosch</t>
  </si>
  <si>
    <r>
      <t xml:space="preserve">Common Cabin Air Assembly </t>
    </r>
    <r>
      <rPr>
        <b/>
        <sz val="11"/>
        <color theme="1"/>
        <rFont val="Calibri"/>
        <family val="2"/>
        <scheme val="minor"/>
      </rPr>
      <t>CCAA</t>
    </r>
  </si>
  <si>
    <t>THC</t>
  </si>
  <si>
    <t xml:space="preserve">
0</t>
  </si>
  <si>
    <t>10
14
23</t>
  </si>
  <si>
    <t>storage</t>
  </si>
  <si>
    <t>&lt; 93,15</t>
  </si>
  <si>
    <t>101 up to high pressure</t>
  </si>
  <si>
    <t>high storage density
reduced mass
higher safety
usable as refrigeration source</t>
  </si>
  <si>
    <t>sensitive to heat leaks
fluid delivery more complex
some analysis &amp; design problems</t>
  </si>
  <si>
    <t>in development at spaceX</t>
  </si>
  <si>
    <t>1
11
27</t>
  </si>
  <si>
    <t>see high pressure storage</t>
  </si>
  <si>
    <t>waste-WM</t>
  </si>
  <si>
    <t>Dry incineration involves the cumbustion of a concentrated solid waste feed consisting of human feces, urine and non human waste. Pretreatment by evaporation do a solid content of about 50 wt-% are necessary. The waste is then heated in O2 to about 813 K. The end products of dry incineration are sterile, and consists of water condensate, inorganic ash and gases (primarily CO2). A catalytic afterburner are required for acceptable combustion efficiency.  Data for crew of 6 for 400 days [34]</t>
  </si>
  <si>
    <t>290 - 813</t>
  </si>
  <si>
    <t>oxidizes most of the important biological elements to their heighest oxidation state (for fertilizer)
yields Nitrate (NO3-)(for plants)</t>
  </si>
  <si>
    <t>incomplete combustion
pre- and posttreatment
effective sinks for nitrite (NO2-) needed (phytotoxic)</t>
  </si>
  <si>
    <t>1; 34</t>
  </si>
  <si>
    <t>has the potential for being much more efficient than other CO2 removal tech</t>
  </si>
  <si>
    <t>1; 26
34</t>
  </si>
  <si>
    <r>
      <t xml:space="preserve">Electrochemical depolarization concentration </t>
    </r>
    <r>
      <rPr>
        <b/>
        <sz val="11"/>
        <color theme="1"/>
        <rFont val="Calibri"/>
        <family val="2"/>
        <scheme val="minor"/>
      </rPr>
      <t>EDC</t>
    </r>
  </si>
  <si>
    <t>336
336
393</t>
  </si>
  <si>
    <t>148 AC; 106 DC
60
42
44
-86
-619</t>
  </si>
  <si>
    <t>291 - 297
291-300</t>
  </si>
  <si>
    <t xml:space="preserve">
101</t>
  </si>
  <si>
    <t>6
6
6
5</t>
  </si>
  <si>
    <t xml:space="preserve">
4600</t>
  </si>
  <si>
    <t>CO2 concentration capacity may be regulated by current adjustment; capacity to handle large CO2 overload situations
DC power is generated
good cabin rel humidity toler.</t>
  </si>
  <si>
    <t>heat generated
requires supply of H2
O2 is consumed; requires larger O2 generation system
potential H2 leakage; fire/ explosion hazard</t>
  </si>
  <si>
    <t>Safe, but of potential fire/explosion hazard (same for electrolyzers)</t>
  </si>
  <si>
    <t>2CO2+2H2+O2 -&gt; 2H2O+2CO2+DCpower+heat</t>
  </si>
  <si>
    <t>2610 gas</t>
  </si>
  <si>
    <t>99,99 % cabin air
0,01 % H2</t>
  </si>
  <si>
    <t>99,77 % purified air
0,002 % H2
0,15 % CO2
0,08 % H2O</t>
  </si>
  <si>
    <t>1
27
13
34
46
51</t>
  </si>
  <si>
    <t>It is a non-thermal electrolysis process which degrades organic, solid waste materials and urine by oxidation to CO2, N2, O2 and H2 at the surface of catalytic electrodes. Lower power requirements than SCWO, Wet Oxidation or Dry Incineration.</t>
  </si>
  <si>
    <t>low temperatures
no consumption of O2
lower power requirements</t>
  </si>
  <si>
    <r>
      <t xml:space="preserve">Electrodialysis </t>
    </r>
    <r>
      <rPr>
        <b/>
        <sz val="11"/>
        <color theme="1"/>
        <rFont val="Calibri"/>
        <family val="2"/>
        <scheme val="minor"/>
      </rPr>
      <t>EDI</t>
    </r>
  </si>
  <si>
    <t>filtration</t>
  </si>
  <si>
    <t>System is divided into three adjacent compartments: a diluting compartment bordered on either side by a concentrating compartment where waste water enters. Ions in this water react with ion exchange resins and transfered through this resins. Due to the semipermeability properties of the ion exchange membranes, ion concentration will decrease in this comparment and increase in the concentrating compartments. Outputs are brine from the concentrating and purified deionized water from the diluting compartment. pre- and post-treatment is required. technical data is for 240 people!, crew of 6 for 400 days [34]</t>
  </si>
  <si>
    <t xml:space="preserve">
759</t>
  </si>
  <si>
    <t xml:space="preserve">460
</t>
  </si>
  <si>
    <t>460
460</t>
  </si>
  <si>
    <t>283 - 308
295 nominal</t>
  </si>
  <si>
    <t>140 - 420
280 nominal</t>
  </si>
  <si>
    <t xml:space="preserve">98
</t>
  </si>
  <si>
    <t>4
4</t>
  </si>
  <si>
    <t>cleanable by flushing</t>
  </si>
  <si>
    <t>capable of deionizing a wide range of feeds
no chemical required
no waste neutralization required
no corrosion problems</t>
  </si>
  <si>
    <t>high complexity (compared to MF)</t>
  </si>
  <si>
    <t>ion transport</t>
  </si>
  <si>
    <t>6000 liquid</t>
  </si>
  <si>
    <t>100 % feed water</t>
  </si>
  <si>
    <t>gases:
0,0001 % H2
0,0008 % O2/Cl2
liquids:
98 % product water
2 % waste water</t>
  </si>
  <si>
    <t>1
34
48</t>
  </si>
  <si>
    <t>Electronic Interface Assembly</t>
  </si>
  <si>
    <t>Safe, if tank is safe</t>
  </si>
  <si>
    <t>Flowmeter</t>
  </si>
  <si>
    <t>Food lockers on ISS</t>
  </si>
  <si>
    <t>food-FM</t>
  </si>
  <si>
    <t>IR passes through a sample of cabin air, creating an IR adsorption spectrum with an interferometer.</t>
  </si>
  <si>
    <t>Some compounds are undetectable by IR
Inability to discriminate between related compounds</t>
  </si>
  <si>
    <t>Gas chromatograph/ Mass spectrometer GC/MS</t>
  </si>
  <si>
    <t>can detect low concentrations of contaminants</t>
  </si>
  <si>
    <r>
      <t xml:space="preserve">General Laboratory Active Cryogenic International Space Station (ISS) Experiment Refrigerator </t>
    </r>
    <r>
      <rPr>
        <b/>
        <sz val="11"/>
        <color theme="1"/>
        <rFont val="Calibri"/>
        <family val="2"/>
        <scheme val="minor"/>
      </rPr>
      <t>GLACIER</t>
    </r>
  </si>
  <si>
    <t>The GLACIER is a rear-breathing or water-cooled cryogenic freezer that provides cryogenic transportation and preservation of samples requiring temperatures between +4 °C (39 °F) and -160 °C (-301 °F). The cold volume of the unit has a generic design that allows multiple types of science samples requiring cryogenic thermal storage to use the GLACIER.</t>
  </si>
  <si>
    <t>25300 (max)
34800 max
41369</t>
  </si>
  <si>
    <t xml:space="preserve">
328000</t>
  </si>
  <si>
    <t>highly reliable
optimum for small amounts of fluid</t>
  </si>
  <si>
    <t>high mass at high pressures
material compatibility concern</t>
  </si>
  <si>
    <t>1; 9
51</t>
  </si>
  <si>
    <t>Type III: Metal liner with full composite overwrap, generally aluminum, with a carbon fiber composite. The composite materials carry the structural loads.
Type IV: An all-composite construction featuring a polymer (typically high-density polyethylene, or HDPE) liner with carbon fiber or hybrid carbon/glass fiber composite. The composite materials carry all of the structural loads.
The cost of Type III and Type IV vessels, however, is roughly two times greater than Type II vessels and 3.5 times greater than the all-metal Type I tanks.</t>
  </si>
  <si>
    <t>Hydrogen sensor</t>
  </si>
  <si>
    <t>OGS</t>
  </si>
  <si>
    <t>Hydrogen tank</t>
  </si>
  <si>
    <t>Inlet Deionizing Bed</t>
  </si>
  <si>
    <t>life limit of 6 years</t>
  </si>
  <si>
    <t xml:space="preserve">The air sample is ionized and the resulting ions are separated on the basis of molecular weight and analyzed by an ion detector. </t>
  </si>
  <si>
    <t>possible fastest analysis time, lowest weight and greatest flexibility</t>
  </si>
  <si>
    <t>412
100
400</t>
  </si>
  <si>
    <t xml:space="preserve">297
</t>
  </si>
  <si>
    <t>268
1400
1400</t>
  </si>
  <si>
    <r>
      <t xml:space="preserve">Lithium hydroxide </t>
    </r>
    <r>
      <rPr>
        <b/>
        <sz val="11"/>
        <color theme="1"/>
        <rFont val="Calibri"/>
        <family val="2"/>
        <scheme val="minor"/>
      </rPr>
      <t>LiOH</t>
    </r>
  </si>
  <si>
    <t>9
9</t>
  </si>
  <si>
    <t>highly reliable</t>
  </si>
  <si>
    <t>high weight penalty</t>
  </si>
  <si>
    <t>2LiOH+CO2-&gt;Li2CO3+H2O</t>
  </si>
  <si>
    <t>4 gas</t>
  </si>
  <si>
    <t>100 % CO2 (in cabin air)</t>
  </si>
  <si>
    <t>100 % water</t>
  </si>
  <si>
    <t>1; 13; 9; 20
34
45</t>
  </si>
  <si>
    <t>3000 $ estimated cost per canister, sums up to 60.000.000 $!</t>
  </si>
  <si>
    <r>
      <t xml:space="preserve">Lithium Hydroxide Sorbent Bed </t>
    </r>
    <r>
      <rPr>
        <b/>
        <sz val="11"/>
        <color theme="1"/>
        <rFont val="Calibri"/>
        <family val="2"/>
        <scheme val="minor"/>
      </rPr>
      <t>SBA</t>
    </r>
  </si>
  <si>
    <t>Low Pressure Nitrogen Regulator / Relief Valve
Assembly</t>
  </si>
  <si>
    <t>PCA</t>
  </si>
  <si>
    <t>Low Pressure Oxygen Regulator / Relief Valve
Assembly</t>
  </si>
  <si>
    <t>2 used on ISS</t>
  </si>
  <si>
    <r>
      <t xml:space="preserve">Major constituent analyser </t>
    </r>
    <r>
      <rPr>
        <b/>
        <sz val="11"/>
        <color theme="1"/>
        <rFont val="Calibri"/>
        <family val="2"/>
        <scheme val="minor"/>
      </rPr>
      <t>MCA</t>
    </r>
  </si>
  <si>
    <t>The MCA continuously monitors partial pressures of oxygen, carbon dioxide, hydrogen, methane, nitrogen, and water vapor m the space station atmosphere. Connection to the Sample Delivery System allows the MCA to draw atinosphere samples from modules. Second data is for crew of 6 on mars transit vehicle [14], ? (should be ISS) [33], for ISS [23]</t>
  </si>
  <si>
    <t xml:space="preserve">
290 - 300</t>
  </si>
  <si>
    <t>replaced every 2 yrs</t>
  </si>
  <si>
    <t>10
14
33</t>
  </si>
  <si>
    <r>
      <t xml:space="preserve">Manual Pressurization Equalization Valve
</t>
    </r>
    <r>
      <rPr>
        <b/>
        <sz val="11"/>
        <color theme="1"/>
        <rFont val="Calibri"/>
        <family val="2"/>
        <scheme val="minor"/>
      </rPr>
      <t>MPEV</t>
    </r>
  </si>
  <si>
    <t>9 used on ISS (24 with 1 spare [23]). Located in all hatches and used to equalize pressure in two adjacent pressurized modules prior to opening the hatch between them. Can also be used to collect atmo samples.</t>
  </si>
  <si>
    <t>11
23</t>
  </si>
  <si>
    <t>Medium Pressure Oxygen Regulator / Relief Valve
Assembly</t>
  </si>
  <si>
    <r>
      <t xml:space="preserve">Metal oxides </t>
    </r>
    <r>
      <rPr>
        <b/>
        <sz val="11"/>
        <color theme="1"/>
        <rFont val="Calibri"/>
        <family val="2"/>
        <scheme val="minor"/>
      </rPr>
      <t>METOX</t>
    </r>
  </si>
  <si>
    <t>413 (regeneration)</t>
  </si>
  <si>
    <t>moist process atmosphere</t>
  </si>
  <si>
    <t>limited lifetime of pellets
needs water for absorption</t>
  </si>
  <si>
    <t>1; 26; 27; 45</t>
  </si>
  <si>
    <t>2 h/y</t>
  </si>
  <si>
    <t>1; 14</t>
  </si>
  <si>
    <r>
      <t xml:space="preserve">Microgravity Experiment Research Locker Incubator </t>
    </r>
    <r>
      <rPr>
        <b/>
        <sz val="11"/>
        <color theme="1"/>
        <rFont val="Calibri"/>
        <family val="2"/>
        <scheme val="minor"/>
      </rPr>
      <t>MERLIN</t>
    </r>
  </si>
  <si>
    <t>MERLIN will be activated, using battery power, prior to loading onto the Space Shuttle. Once onboard the Space Shuttle, it is connected to power supplied from the vehicle. MERLIN will be deactivated briefly for transfer to ISS where it will be connected to a power source once onboard. Depending on the types of samples that are placed into MERLIN, it will be used as a refrigerator, freezer or incubator with temperature capabilities of -20.0°C (-4°F) to + 48.5°C (+119°F). The crew will perform maintenance and routine checks of the hardware. MERLIN can also be monitored and commanded from the ground.</t>
  </si>
  <si>
    <r>
      <t xml:space="preserve">Minus Eighty-Degree Laboratory Freezer for ISS </t>
    </r>
    <r>
      <rPr>
        <b/>
        <sz val="11"/>
        <color theme="1"/>
        <rFont val="Calibri"/>
        <family val="2"/>
        <scheme val="minor"/>
      </rPr>
      <t>MELFI</t>
    </r>
  </si>
  <si>
    <t>The freezer is based on the Reverse Brayton Thermodynamic Cycle which uses nitrogen gas as a working fluid. It includes four individually-controlled dewars which can be configured to support samples at temperatures between 10 degrees C and -99 degrees C.</t>
  </si>
  <si>
    <t>230
77</t>
  </si>
  <si>
    <t>283 - 338</t>
  </si>
  <si>
    <t xml:space="preserve">2-3
3
4
</t>
  </si>
  <si>
    <t>working capacity is about twice larger than 4BMS
 no trace contaminant found in system</t>
  </si>
  <si>
    <t>limited experimental data and testing results
 no prototype for system design analyses</t>
  </si>
  <si>
    <t>1
27
34
44</t>
  </si>
  <si>
    <t>535
860
546
536,06
900
170
1000
860
945
714
497</t>
  </si>
  <si>
    <t>283 - 423
283-477
290-480</t>
  </si>
  <si>
    <t>66
66</t>
  </si>
  <si>
    <t xml:space="preserve">8
8
6
9
8
9
</t>
  </si>
  <si>
    <t>1150 gas</t>
  </si>
  <si>
    <t>100 % air</t>
  </si>
  <si>
    <t>99,5 % air
0,5 % CO2</t>
  </si>
  <si>
    <t>1
10
12
14
9
27
34
42
43
44
45
46
56
23</t>
  </si>
  <si>
    <t>see above for components
In summary, the overall lessons learned from on-orbit operation of the CDRA were
- ECLS systems for extremely long missions must be designed for maintainability below the ORU level as a contingency measure, Contamination impacts must be part of design considerations and requirements,
- Engineers must be aware of the differences between testing on ground and operation in microgravity when assessing wear and long-term reliability in the presence of abrasive microparticles, New technology implementations should be fully qualified prior to flight to reduce future mitigation costs,
-To protect the subsystem supplier from problems caused by system-wide changes, funding should be provided to the subject matter expert to fully vet operational changes, System designs must incorporate emergency functionalities to allow recovery from known failure modes,
- Inter-system considerations should be made to prevent problems from one system to cascade into downstream systems.</t>
  </si>
  <si>
    <r>
      <t xml:space="preserve">Multi Bed Trace Contaminant Control </t>
    </r>
    <r>
      <rPr>
        <b/>
        <sz val="11"/>
        <color theme="1"/>
        <rFont val="Calibri"/>
        <family val="2"/>
        <scheme val="minor"/>
      </rPr>
      <t>TCCS</t>
    </r>
  </si>
  <si>
    <t>Air flows first through an nonregenerable activated charcoal bed, impregnated with phosphoric acid, for control of well-adsorbed contaminants, ammonia and water-soluble contaminants. A filter downstream prevents particulates from entering other parts of the system. About 30% enters the  smaller activated charocoal bed while the remaining is ducted to the cabin. Low air-flow rate there aids in removal of contaminants poorly adsorbed by charcoal. (This bed is reactivated by using heat and vacuum. At the end of desorption cycle the bed T is 366K and pressure is 6,7*10^-3 Pa. The required time is 195 minutes.) A nonregenerable LiOH presorbant bed prevent acid gases, like HCl, HF, or SO2, from entering the catalytic oxidixer downstream. The high temperature catalytic oxidizer contains an oxidation catalyst, like palladium on aluminia, and operates at 673K. His primary function is to oxidize hydrocarbons not adsorbed in the charocoal beds. The air then flows to the nonregenerable postsorbant LiOH bed which removes any undesirable acidic products of oxidation. Two units operates on ISS in Destiny and Node3. Technical data from for ISS [10]&amp;[23], second data is for crew of 6 on mars transit vehicle [14], third for crew of 4 [9], fourth per person [27]; fifth for crew of 6 [13], crew of 6 for 400 days ISS baseline and Improved with a regenerable sorbent bed that is regenerated using space vacuum [34], kg/CMd [43]</t>
  </si>
  <si>
    <t>723
720</t>
  </si>
  <si>
    <t>5
5
8
6
5</t>
  </si>
  <si>
    <t>versatile for non-specific - can control many different organic and inorganic airborne trace contaminants
provides for a country-fresh air environment</t>
  </si>
  <si>
    <t>data for load model is often qualitative; quantitative data on material off-gasing needed
SMAC levels are often based on qualitative considerations
catalyst poisoning must be taken into account
regenerable charcoal bed may needed for missions to Mars
long-term testing of an integrated TCC needed</t>
  </si>
  <si>
    <t>development of a method for activated charcoal regeneration without decrease of charcoal capacity
reliability and modes of failure of a TCC subsystem are unknown
quantitative data on the outlet of a TCC subsystem during long-term operation</t>
  </si>
  <si>
    <t>0,0154 gas (contaminants only)</t>
  </si>
  <si>
    <t>20 % O2
80 % N2
&lt;1 % contaminants</t>
  </si>
  <si>
    <t>20 % O2
80 % N2
&lt;1% traces of oxidation products</t>
  </si>
  <si>
    <t>1; 10; 23
14
9
21
13
34
34</t>
  </si>
  <si>
    <r>
      <t xml:space="preserve">Multifiltration </t>
    </r>
    <r>
      <rPr>
        <b/>
        <sz val="11"/>
        <color theme="1"/>
        <rFont val="Calibri"/>
        <family val="2"/>
        <scheme val="minor"/>
      </rPr>
      <t>MF</t>
    </r>
  </si>
  <si>
    <t>289 - 328
290</t>
  </si>
  <si>
    <t>70 - 210
101</t>
  </si>
  <si>
    <t>5
8
8
8
9</t>
  </si>
  <si>
    <r>
      <t xml:space="preserve">typical exchange at 15 days if used for complete treatment
</t>
    </r>
    <r>
      <rPr>
        <b/>
        <sz val="11"/>
        <color theme="1"/>
        <rFont val="Calibri"/>
        <family val="2"/>
        <scheme val="minor"/>
      </rPr>
      <t xml:space="preserve">best for WRM
</t>
    </r>
    <r>
      <rPr>
        <sz val="11"/>
        <color theme="1"/>
        <rFont val="Calibri"/>
        <family val="2"/>
        <scheme val="minor"/>
      </rPr>
      <t>128 for 500 days</t>
    </r>
  </si>
  <si>
    <t>contains all polishing elements in one catridge</t>
  </si>
  <si>
    <t>connot be regenerated practically
must be replaced and trashed</t>
  </si>
  <si>
    <t>regeneration technology
possibly improved sorbants for higher capacity</t>
  </si>
  <si>
    <t>sorption</t>
  </si>
  <si>
    <t>114 liquid
0,015 solid</t>
  </si>
  <si>
    <t>100 % water
solid:
0,01 % organic carbon
0,01 % inorganics</t>
  </si>
  <si>
    <t>114 liquid</t>
  </si>
  <si>
    <t>100 % water
solid:
0,001 organic carbon
0,0025 % inorganics</t>
  </si>
  <si>
    <t>1
9
13
13
48
51</t>
  </si>
  <si>
    <t xml:space="preserve">
D=-1;Dev cost=76$M</t>
  </si>
  <si>
    <t>Negative Pressure Relief Valve NPRV</t>
  </si>
  <si>
    <t>6 used on ISS (9 with 0 spares [23])</t>
  </si>
  <si>
    <t>on ISS; minimum flow rate = 0,567 kg/s [33]</t>
  </si>
  <si>
    <t>Nitrogen / Oxygen Pressure Restrictor</t>
  </si>
  <si>
    <t>Nitrogen / Oxygen Pressure Sensor</t>
  </si>
  <si>
    <t>4 used on ISS, where no PCA installed</t>
  </si>
  <si>
    <t>Nitrogen from ammonia</t>
  </si>
  <si>
    <t>N2 generation</t>
  </si>
  <si>
    <t>needs preheater
ammonia is toxic
early stages of development</t>
  </si>
  <si>
    <t>Unsafe, because Ammonia is highly toxic</t>
  </si>
  <si>
    <t>2NH3+heat -&gt; N2+3H2</t>
  </si>
  <si>
    <t>Nitrogen from Hydrazine</t>
  </si>
  <si>
    <t>no external power required</t>
  </si>
  <si>
    <t>hydrazine is highly toxic</t>
  </si>
  <si>
    <t>Unsafe, because Hydrazine is higly toxic</t>
  </si>
  <si>
    <t>3N2H4 -&gt; 3N2+6H2+heat</t>
  </si>
  <si>
    <t>Nitrogen Latching Motor Valves NLMV</t>
  </si>
  <si>
    <t>2 used on ISS in AL</t>
  </si>
  <si>
    <t xml:space="preserve">
0</t>
  </si>
  <si>
    <r>
      <t xml:space="preserve">Nitrogen Interface Assembly </t>
    </r>
    <r>
      <rPr>
        <b/>
        <sz val="11"/>
        <color theme="1"/>
        <rFont val="Calibri"/>
        <family val="2"/>
        <scheme val="minor"/>
      </rPr>
      <t>NIA</t>
    </r>
  </si>
  <si>
    <t>3 used on ISS with 1 spare. Pressurizes the accumulator in the Internal Thermal Control System (ITCS) pump package assembly in the Low- and Moderate-Temperature Loop (LTL, MTL) and included in the PCA.</t>
  </si>
  <si>
    <t>Nitrogen Manual Isolation Valve</t>
  </si>
  <si>
    <t xml:space="preserve">
0; 48 peak</t>
  </si>
  <si>
    <t>Nitrogen Purge ORU</t>
  </si>
  <si>
    <t>Osmotic Membrances</t>
  </si>
  <si>
    <t>would likely result in simple, light, small, low power CO2 removal system</t>
  </si>
  <si>
    <t>inefficient process requires large membranes to remove relativly small quantities of CO2
poor gas selectivity results in CO2 return to cabin air</t>
  </si>
  <si>
    <t>1; 27</t>
  </si>
  <si>
    <t>0
17
0</t>
  </si>
  <si>
    <t>9
8</t>
  </si>
  <si>
    <t>very reliable</t>
  </si>
  <si>
    <t>high weight</t>
  </si>
  <si>
    <t>LiClO4 -&gt; ClLi + 2O2</t>
  </si>
  <si>
    <t>2,2 solid</t>
  </si>
  <si>
    <t>LiClO4</t>
  </si>
  <si>
    <t>0,8 gas
1,4 solid</t>
  </si>
  <si>
    <t>40 % O2
60 % ClLi</t>
  </si>
  <si>
    <t>13
27</t>
  </si>
  <si>
    <t>Oxygen Latching Motor Valves</t>
  </si>
  <si>
    <t>Oxygen Manual Isolation Valve</t>
  </si>
  <si>
    <t>3 used on ISS</t>
  </si>
  <si>
    <t>Oxygen Outlet</t>
  </si>
  <si>
    <t>Oxygen Relief Valve
Assembly</t>
  </si>
  <si>
    <t>Polar</t>
  </si>
  <si>
    <t>Polar is a Cold Stowage managed facility that provides transport and storage of science samples at cryogenic temperatures (-80ºC) to and from ISS.  Polar operates on 75 W supplied power and uses air cooling as its heat rejection method.  Polar can accommodate up to 12.75 liters of sample volume and 20 lbm including sample support equipment.</t>
  </si>
  <si>
    <r>
      <t xml:space="preserve">Portable Breathing Apparatus </t>
    </r>
    <r>
      <rPr>
        <b/>
        <sz val="11"/>
        <color theme="1"/>
        <rFont val="Calibri"/>
        <family val="2"/>
        <scheme val="minor"/>
      </rPr>
      <t>PBA</t>
    </r>
    <r>
      <rPr>
        <sz val="11"/>
        <color theme="1"/>
        <rFont val="Calibri"/>
        <family val="2"/>
        <scheme val="minor"/>
      </rPr>
      <t xml:space="preserve">
Quick Disconnect</t>
    </r>
  </si>
  <si>
    <t>PBA</t>
  </si>
  <si>
    <t>on ISS; flow rate = 1,36 kg/hr [33]</t>
  </si>
  <si>
    <t>Positive Pressure Relief
Valve PPRV</t>
  </si>
  <si>
    <t>6 used on ISS</t>
  </si>
  <si>
    <t>on ISS; flow rate = 0,1134 kg/s [33]</t>
  </si>
  <si>
    <t>Power Supply Module</t>
  </si>
  <si>
    <r>
      <t xml:space="preserve">Pressure Control Assembly </t>
    </r>
    <r>
      <rPr>
        <b/>
        <sz val="11"/>
        <color theme="1"/>
        <rFont val="Calibri"/>
        <family val="2"/>
        <scheme val="minor"/>
      </rPr>
      <t>PCA</t>
    </r>
  </si>
  <si>
    <t>One PCA per module. Monitors and controls total habitat pressure by controlling O2 and N2 partial pressures. It provides for controlled venting to space and provides controlled repressurization capability.</t>
  </si>
  <si>
    <r>
      <t xml:space="preserve">Pressure Control Panel </t>
    </r>
    <r>
      <rPr>
        <b/>
        <sz val="11"/>
        <color theme="1"/>
        <rFont val="Calibri"/>
        <family val="2"/>
        <scheme val="minor"/>
      </rPr>
      <t>PCP</t>
    </r>
  </si>
  <si>
    <r>
      <rPr>
        <b/>
        <sz val="11"/>
        <color theme="1"/>
        <rFont val="Calibri"/>
        <family val="2"/>
        <scheme val="minor"/>
      </rPr>
      <t>88</t>
    </r>
    <r>
      <rPr>
        <sz val="11"/>
        <color theme="1"/>
        <rFont val="Calibri"/>
        <family val="2"/>
        <scheme val="minor"/>
      </rPr>
      <t xml:space="preserve">
18
16</t>
    </r>
  </si>
  <si>
    <t xml:space="preserve">
286 -338,7 </t>
  </si>
  <si>
    <t xml:space="preserve">
0 - 104,8</t>
  </si>
  <si>
    <t>11
23
33</t>
  </si>
  <si>
    <t>Process Controller</t>
  </si>
  <si>
    <t>life limit of 1 year!</t>
  </si>
  <si>
    <t>highly efficient electrostatic precipitator
relativly simple
low operation temperature
possible long life operation</t>
  </si>
  <si>
    <t>high power requirement
possible decrements in performance caused by surrounding electromagnetic interference</t>
  </si>
  <si>
    <r>
      <t xml:space="preserve">Reverse osmosis </t>
    </r>
    <r>
      <rPr>
        <b/>
        <sz val="11"/>
        <color theme="1"/>
        <rFont val="Calibri"/>
        <family val="2"/>
        <scheme val="minor"/>
      </rPr>
      <t>RO</t>
    </r>
  </si>
  <si>
    <t>15
0</t>
  </si>
  <si>
    <t>20
80</t>
  </si>
  <si>
    <t>280 - 320
295 nominal</t>
  </si>
  <si>
    <t>310 - 3100
2750 nominal</t>
  </si>
  <si>
    <t>5
5
6</t>
  </si>
  <si>
    <t>very low energy consumption
no requirement for a gas-liquid phase separator
operates at low temperatures</t>
  </si>
  <si>
    <t>high pressure needed
pre- and post-treatment</t>
  </si>
  <si>
    <t>membrane improvments to eliminate the need of pre- and posttreatment</t>
  </si>
  <si>
    <t>Safe, but only if high pressure can made safe</t>
  </si>
  <si>
    <t>1
34
48
51</t>
  </si>
  <si>
    <r>
      <t xml:space="preserve">Sabatier Reactor </t>
    </r>
    <r>
      <rPr>
        <b/>
        <sz val="11"/>
        <color theme="1"/>
        <rFont val="Calibri"/>
        <family val="2"/>
        <scheme val="minor"/>
      </rPr>
      <t>SR</t>
    </r>
  </si>
  <si>
    <t>CO2 react with H2 at 480-800 K in presence of ruthenium catalyst on a high granular substrate producing methane and water. Input gases must be free of contaminant gases! Effective catalyst is 20 wt-% ruthenium supported on alumenia. Reaction begins at 450 K and from then is self-sustaining. Above 866K reverse endothermic reaction occurs which prevents overheating. Molar ratios of H2/CO2 ranging from 1,8 to 5 with the lean component is H2 for molar ratios of H2/CO2 from 1,8 to 4 and CO2 from molar ratios from 4 to 5. By-products (C or CO) are minimized when H2/CO2 feed ratios slightly exceed stochiometric values, ie 4:1. First data kg/CM [1], Second technical data for crew of 6 on Mars Trasit Vehicle [14], third for crew of 3 [9], forth theoretical processing of 1kg/s COs [19], fifth per kg-day of CO2 removed [27], unknown [13], 6 crew for 400 days [34], kg/CMd [43], specific heat production [26], Crew of 6 for STS LARS study [20], Crew of 9 for 500 day mission [51]</t>
  </si>
  <si>
    <t>5
7
8
6</t>
  </si>
  <si>
    <t>- design of major components, catalyst and subsystem configuration are  mature level
- reliable operation
- short start-up time
- signifigant savings in weight, power, volume and resupply compared to Bosch
- single pass efficiency &gt;99%</t>
  </si>
  <si>
    <t>- recovered water contains dissolved gases (CO2, CH4)
- N2 will be vented with CH4
- catalyst susceptible to poisoning by solid amine vapors
- increases water resupply and requires methane handling</t>
  </si>
  <si>
    <t>- development of a posttreatment process for the formation of dense carbon by the pyrolysis of methane</t>
  </si>
  <si>
    <t>CO2+4H2 -&gt; CH4+2H2O+heat</t>
  </si>
  <si>
    <t>1
14
9
19
27
13
34
43
26
20
51</t>
  </si>
  <si>
    <t>for food rehydration and heating</t>
  </si>
  <si>
    <t>Sodasorb</t>
  </si>
  <si>
    <t>CO2+H2O + NaOH + Ca(OH)2 -&gt; 2H2O + CaCO3 + Heat</t>
  </si>
  <si>
    <t>1; 26</t>
  </si>
  <si>
    <r>
      <t xml:space="preserve">Solid amine water desorption </t>
    </r>
    <r>
      <rPr>
        <b/>
        <sz val="11"/>
        <color theme="1"/>
        <rFont val="Calibri"/>
        <family val="2"/>
        <scheme val="minor"/>
      </rPr>
      <t>SAWD</t>
    </r>
  </si>
  <si>
    <t>454
612</t>
  </si>
  <si>
    <t>454
150
570
612
1923
250</t>
  </si>
  <si>
    <t>292 - 300</t>
  </si>
  <si>
    <t>100 - 30</t>
  </si>
  <si>
    <t>6
6
5</t>
  </si>
  <si>
    <t>Amine resin degrade by steam during regeneration
degradation my yield toxic vapors; moisture content must be optimized and conrolled
excess moisture increases pressure drop and reduces CO2 capacity
for a low relative humidity in the cabin the CO2 Removal process does not work properly</t>
  </si>
  <si>
    <t>improved method of resin regeneration having a low power consumption; dev of a more stable resin</t>
  </si>
  <si>
    <t>Adsorption:
Amine + H2O -&gt; Amine - H2O
Amine - H2O -&gt; Amine - H2CO3
Desorption:
Amine - H2CO3 + steam heat -&gt; CO2 + H2O + Amine</t>
  </si>
  <si>
    <t>724 gas</t>
  </si>
  <si>
    <t>19,6 vol-% O2
78,6 vol-% N2
0,5 vol-% CO2
1,3 vol-% H2O vapor
trace contaminants</t>
  </si>
  <si>
    <t>721 gas</t>
  </si>
  <si>
    <t>19,7 vol-% O2
79 vol-% N2
1,3 vol-% H2O vapor
trace contaminants</t>
  </si>
  <si>
    <t>1
27
?
34
46
51
20</t>
  </si>
  <si>
    <t xml:space="preserve">
290</t>
  </si>
  <si>
    <t>nearly any
101</t>
  </si>
  <si>
    <t>4 (6)
7
8
8</t>
  </si>
  <si>
    <t>3H2O+energy -&gt; 2H2+H2O+O2+heat</t>
  </si>
  <si>
    <t>1; 14
34
52
10
9
42
43
56</t>
  </si>
  <si>
    <r>
      <t xml:space="preserve">Starved-air combustion </t>
    </r>
    <r>
      <rPr>
        <b/>
        <sz val="11"/>
        <color theme="1"/>
        <rFont val="Calibri"/>
        <family val="2"/>
        <scheme val="minor"/>
      </rPr>
      <t>SAC</t>
    </r>
  </si>
  <si>
    <t>Waste water solids must mechanically dewaterd before. The partly oxidized remains after the combustion exist through the furnace as gaseous effluent and can be fully oxidized in a catalytic oxidation unit. Catalytic oxidation uses relatively small amounts of O2. Ammonia from the combustion process is converted to N2 and water in the afterburner.</t>
  </si>
  <si>
    <t>Oxidation for sludge needs less O2 than dry incineration
more stable
easier to direct because contollable by adjusting the rate of gas input
fewer toxic emissions 
larger particulates</t>
  </si>
  <si>
    <t>pre- and posttreatment</t>
  </si>
  <si>
    <r>
      <t xml:space="preserve">Static feed water electrolysis </t>
    </r>
    <r>
      <rPr>
        <b/>
        <sz val="11"/>
        <color theme="1"/>
        <rFont val="Calibri"/>
        <family val="2"/>
        <scheme val="minor"/>
      </rPr>
      <t>SFWE</t>
    </r>
  </si>
  <si>
    <t>113
54
180</t>
  </si>
  <si>
    <t>39
60</t>
  </si>
  <si>
    <t>1470
959
1950
243</t>
  </si>
  <si>
    <t>up to 7*10^3 if desired</t>
  </si>
  <si>
    <t>8
3</t>
  </si>
  <si>
    <t>use same as SPWE</t>
  </si>
  <si>
    <t>not 100% efficient</t>
  </si>
  <si>
    <t>better anode/cathode material to increase cell life and reliability
improved electrolyte to reduce cell resistance and power requirements</t>
  </si>
  <si>
    <t>3H2O+energy -&gt; 2H2+O2+H2O+heat</t>
  </si>
  <si>
    <t>1; 13
34
52
53</t>
  </si>
  <si>
    <r>
      <t xml:space="preserve">Super critical waste oxidation </t>
    </r>
    <r>
      <rPr>
        <b/>
        <sz val="11"/>
        <color theme="1"/>
        <rFont val="Calibri"/>
        <family val="2"/>
        <scheme val="minor"/>
      </rPr>
      <t>SCWO</t>
    </r>
  </si>
  <si>
    <t>Process medium is supercritical water. Oxidation occurs in a single phase. If T and P are high enough, organic compounds, process atmo and trace contaminant gases are completly oxidized to CO2, H2 and N2. The reaction is fast and essentially complete oxidation. SCWO can handle all types of waste, in addition of processing condensate, wash and urine/flush water. It produces potable water from all input waste waters. Safety concern due to high pressure and temperature, material corrosive problems and the need of post-treatment to remove a few toxic product gases must be solved. First technical data for supporting 4 people [1], second data per crew member, based on lab breadboard design to supply 4 people [9], crew of 4 for 400 days [34]</t>
  </si>
  <si>
    <t>694
150
694</t>
  </si>
  <si>
    <t>360
90</t>
  </si>
  <si>
    <t>1440
360
1440</t>
  </si>
  <si>
    <t>647 - 1023
923
647</t>
  </si>
  <si>
    <t>3
3
4</t>
  </si>
  <si>
    <t>mean for WRM</t>
  </si>
  <si>
    <t>can combine oxidation of trace organic contaminants in air and air organic contaminants in water in a single unit
high destruction efficiencies at short residence time (&lt;5 min)
can be used to separate inorganic salts from water</t>
  </si>
  <si>
    <t>reactor operates at high P and T
since oxidation reactions are exothermic, T control may be difficult
metals may corrode and contaminate product water</t>
  </si>
  <si>
    <t>mass and energy balance on waste streams of interest are poorly defined
reliability and modes of failure of a corrosion resistant reactor material are needed
salt crystal nucleation &amp; growth
salt separation</t>
  </si>
  <si>
    <t>Unsafe, because of high pressure combinded with high temperature at exothermic reaction. Also potential corrorsion with contamination of product water.</t>
  </si>
  <si>
    <t>Organic+O2 -&gt; CO2+H2O+N2</t>
  </si>
  <si>
    <t>2,59 gas
25,3 liquid
1,27 solid</t>
  </si>
  <si>
    <t>3,77 gas
25,3 liquid
0,098 solid</t>
  </si>
  <si>
    <t>1
9
34</t>
  </si>
  <si>
    <t>Superoxides</t>
  </si>
  <si>
    <t>423 (desorption)</t>
  </si>
  <si>
    <t>sucessfully used on many missions</t>
  </si>
  <si>
    <t>overheating problems
low efficiency of 50-80% when use of KO2
limited to about 90 cycles</t>
  </si>
  <si>
    <t>Safe, but overheating problems are a concern</t>
  </si>
  <si>
    <t>for carbonate
K2CO3(s)+CO2(g)+H2O(g)
&lt;-&gt;2KHCO3(s) s:solid; g:gas
for potassium:
4KO2+3H2O+2CO2-&gt;
2(K2CO3*3/2H2O)+3O2+heat</t>
  </si>
  <si>
    <t>0,309 gas
1 solid</t>
  </si>
  <si>
    <t>100 % cabin air
100% KO2</t>
  </si>
  <si>
    <t>0,38 gas
(1 solid)</t>
  </si>
  <si>
    <t>100 % O2
(100 % KO2)</t>
  </si>
  <si>
    <t>1; 45
26</t>
  </si>
  <si>
    <t>Has to control comfortable atmo for crew and avoidance of condensing water. Condensing heat exchanges (CHX) effect both. Thermal control is archieved by transferring internal heat load and external heat fluxes to a water coolant loop. Plate fin heat exchanger have proven to be superior. Humidity is removed by decreasing air T below its dew point and separating the condensed water. This is realized by including a slurper into the air discharge face of the CHX.</t>
  </si>
  <si>
    <t>170
500
-300</t>
  </si>
  <si>
    <t>170
500
1634</t>
  </si>
  <si>
    <t>336 - 339</t>
  </si>
  <si>
    <t>4-5
4
6</t>
  </si>
  <si>
    <r>
      <t xml:space="preserve">longest hands-off run was 20 days (1987)
</t>
    </r>
    <r>
      <rPr>
        <b/>
        <sz val="11"/>
        <color theme="1"/>
        <rFont val="Calibri"/>
        <family val="2"/>
        <scheme val="minor"/>
      </rPr>
      <t xml:space="preserve">worst for WRM
</t>
    </r>
    <r>
      <rPr>
        <sz val="11"/>
        <color theme="1"/>
        <rFont val="Calibri"/>
        <family val="2"/>
        <scheme val="minor"/>
      </rPr>
      <t>36 for 500 days</t>
    </r>
  </si>
  <si>
    <t>circulation waste fluid is contained within hollow fiber membranes in the evaporating section
recycle fluid loop is at atmosheric pressure
static evaporation and condensing surfaces</t>
  </si>
  <si>
    <t>the large number of organic fibers could be attacked by the acid oxidizing environment and fail
plugging of small diameter tubes can result in a plugging/ maintenance problem
more breakdown of urea due to higher T causing poorer water quality than VCD
about twice the energy per kg water recovered as VCD
requires pretreatment</t>
  </si>
  <si>
    <t>reliability improvments
ability to achieve higher water recovery</t>
  </si>
  <si>
    <t>Urea -&gt; NH3+CO2 (side reaction)</t>
  </si>
  <si>
    <t>21,8 liquid
0,7 solid</t>
  </si>
  <si>
    <t>0,7 gas
21,1 liquid
0,7 solid</t>
  </si>
  <si>
    <t>1; 13
34
48
51</t>
  </si>
  <si>
    <t xml:space="preserve">
D=0;Dev cost=157$M</t>
  </si>
  <si>
    <r>
      <t xml:space="preserve">Ultrafiltration </t>
    </r>
    <r>
      <rPr>
        <b/>
        <sz val="11"/>
        <color theme="1"/>
        <rFont val="Calibri"/>
        <family val="2"/>
        <scheme val="minor"/>
      </rPr>
      <t>UF</t>
    </r>
  </si>
  <si>
    <t>This is a process that filters most suspended solids and macromolecules, while allowing low molecular weight salts and water to permeate the membrane. The driving force is low pressure and the selective separation of Ions is relativly good.</t>
  </si>
  <si>
    <t>115
30
397
440
0</t>
  </si>
  <si>
    <t>115
30
397
65
440
1005
315</t>
  </si>
  <si>
    <t>289 - 311
290</t>
  </si>
  <si>
    <t>5
5
8
6
9</t>
  </si>
  <si>
    <t>low power consumption due to passive latent heat recovery
produces slightly higher quality and processes higher flow rates than TIMES
can tolerate high solid concentrations within the recylce loop
self-regulating process
insensitive to plugging or rupture</t>
  </si>
  <si>
    <t>generation of gaseous products which must be vented
processors have not been operated in steady state mode
feed stream is pretreated
less than 100% water recovery necessitates brine storage
requires a liquid droplet containment device in the event of power failure</t>
  </si>
  <si>
    <t>adapt processor for steady state operation
remove pretreatment of inlet stream
develop modes of operation which minimizes the generation of NH3</t>
  </si>
  <si>
    <t>Urea+H2O -&gt; NH3+CO2</t>
  </si>
  <si>
    <t>32,64 liquid
0,87 solid</t>
  </si>
  <si>
    <t>liquid:
34,8 % flush water
0,58 % pretreat water
solid:
0,005 % ozone
0,01 % sulfuric acid
64,61 % urine (=96%water)</t>
  </si>
  <si>
    <t>0,03 gas
32,64 liquid
0,84 solid</t>
  </si>
  <si>
    <t>gas:
ammonia
CO2
liquid:
34,8 % flush water
0,58 % pretreat water
solid:
0,005 % ozone
0,01 % sulfuric acid
64,61 % urine (=96%water)</t>
  </si>
  <si>
    <t>1
9
13
34
43
48
51</t>
  </si>
  <si>
    <t xml:space="preserve">
D=0;Dev cost=164$M</t>
  </si>
  <si>
    <t>100
2232400
160</t>
  </si>
  <si>
    <t>100
2232400
2380
160</t>
  </si>
  <si>
    <t>350 - 723</t>
  </si>
  <si>
    <t>50 - 200 
80 nominal</t>
  </si>
  <si>
    <t>3
6
4</t>
  </si>
  <si>
    <t>worst for wrm</t>
  </si>
  <si>
    <t>- produces potable water
- catalytic beds decompose hydrocarbons and ammonia
- no pretreatment
- minimum posttreatment
- appears to have the highest potential for keeping the water system decontaminated over a long period of time
- capable of processing potable water, reducing WRM complexity by reducing the number of water processors.</t>
  </si>
  <si>
    <t>- low TRL
- higher energy usage than VCD
- possible compressor problems</t>
  </si>
  <si>
    <t>- development nedded on tube evaporator
- better compressor needed</t>
  </si>
  <si>
    <t>0,02 gas
13 liquid
0,45 solid</t>
  </si>
  <si>
    <t>0,08 gas
13 liquid
0,45 solid</t>
  </si>
  <si>
    <t>1
13
34
48</t>
  </si>
  <si>
    <t xml:space="preserve">
D=0;Dev cost=99$M</t>
  </si>
  <si>
    <r>
      <t xml:space="preserve">Vent and Relief Valve </t>
    </r>
    <r>
      <rPr>
        <b/>
        <sz val="11"/>
        <color theme="1"/>
        <rFont val="Calibri"/>
        <family val="2"/>
        <scheme val="minor"/>
      </rPr>
      <t>VRV</t>
    </r>
  </si>
  <si>
    <t>30
30</t>
  </si>
  <si>
    <t>Utilizes catalytic oxidation and may be more efficient in microbial control than other water recovery processes. Can simultaneously process solid and liquid wastes. The original WM-WS, including a plutonium heat source, was known as the radio isotope thermal engery (RITE) system.</t>
  </si>
  <si>
    <t>high temperature</t>
  </si>
  <si>
    <t>Unsafe, because of plutonium source</t>
  </si>
  <si>
    <t>Continously or frequently measurement of pH, ammonia content, total organic carbon, electrical conductivity and microbial concentration. Less frequent parameters are color, odor, turbidity, foaming and heavy metal concentrations. Commercial sensors are available for this measurements. Data is for crew of 6 on mars transfer vehicle [14], installed on ISS [23]</t>
  </si>
  <si>
    <t>1; 14
23</t>
  </si>
  <si>
    <t>life limit of 2,92 years</t>
  </si>
  <si>
    <t>- simple and therefore reliable
- does not penalize the hygiene water supply and helps control humidity</t>
  </si>
  <si>
    <t>- few interfaces</t>
  </si>
  <si>
    <t>2H2O+energy -&gt; 2H2+O2+heat</t>
  </si>
  <si>
    <t>2,41 - 3 gas</t>
  </si>
  <si>
    <t>O2 generated</t>
  </si>
  <si>
    <t>1; 25</t>
  </si>
  <si>
    <t xml:space="preserve">Wet oxidation involves the oxidation of either a dilute or concentrated waste slurry at an elevated pressure and temperature. Combustion takes place place in air of O2 at a pressure of about 14 Mpa and temperatures ranging from 473 to 573 K, producing largely CO2 and water. Cumbustion takes around 15 to 60 minutes. </t>
  </si>
  <si>
    <t>473 - 573</t>
  </si>
  <si>
    <t>14*10^3</t>
  </si>
  <si>
    <t>reduction of solid wastes to very small weight and volume of sterile, non degradable ash</t>
  </si>
  <si>
    <t>O2 requirement
potential hazard of high pressure
posttreatment by catalytic oxidation</t>
  </si>
  <si>
    <t>Safe, but high pressure is a concern, so it must be operated outside the hab volume.</t>
  </si>
  <si>
    <r>
      <t xml:space="preserve">Waste and Hygiene Compartment </t>
    </r>
    <r>
      <rPr>
        <b/>
        <sz val="11"/>
        <color theme="1"/>
        <rFont val="Calibri"/>
        <family val="2"/>
        <scheme val="minor"/>
      </rPr>
      <t>WHC</t>
    </r>
  </si>
  <si>
    <r>
      <t xml:space="preserve">Water recovery system </t>
    </r>
    <r>
      <rPr>
        <b/>
        <sz val="11"/>
        <color theme="1"/>
        <rFont val="Calibri"/>
        <family val="2"/>
        <scheme val="minor"/>
      </rPr>
      <t>WRS</t>
    </r>
  </si>
  <si>
    <t>919,74
1360</t>
  </si>
  <si>
    <t>919,74
990
1270
1360
743</t>
  </si>
  <si>
    <t xml:space="preserve">
6
5</t>
  </si>
  <si>
    <t>14
34
34
48
56</t>
  </si>
  <si>
    <t>180 h/y</t>
  </si>
  <si>
    <t>see VPCAR</t>
  </si>
  <si>
    <t>Microbial check valve</t>
  </si>
  <si>
    <t>14; 13; 34</t>
  </si>
  <si>
    <t>Food packaging (inlcudes aluminum film, tubes ...)</t>
  </si>
  <si>
    <t>store food with required self life (12-18 months on ISS). Has often a second function of  directly servicable, so no need of dishes. Special events like depressurization must also be considered. See presentation [16] for pros and cons.</t>
  </si>
  <si>
    <t>25 % mass reduction due to Orion. 4 Meal replacment bars enabling 10% mass reduction.</t>
  </si>
  <si>
    <t>Conventional ovens</t>
  </si>
  <si>
    <t>Microwave ovens</t>
  </si>
  <si>
    <t>9; 34</t>
  </si>
  <si>
    <t>Diswasher</t>
  </si>
  <si>
    <t>Toilet</t>
  </si>
  <si>
    <t>90
31</t>
  </si>
  <si>
    <t>180
200</t>
  </si>
  <si>
    <t xml:space="preserve">
4</t>
  </si>
  <si>
    <t>9
34</t>
  </si>
  <si>
    <t>Shower</t>
  </si>
  <si>
    <t>1000
700</t>
  </si>
  <si>
    <t>9; 34
51</t>
  </si>
  <si>
    <t>Washing machine</t>
  </si>
  <si>
    <t>Clothes dryer</t>
  </si>
  <si>
    <t>Trash compactor/trash lock</t>
  </si>
  <si>
    <t>850
110</t>
  </si>
  <si>
    <t>Food restraints, handrails, aisle-mounted equipment anchors, tethers ... First data is for crew of 6 for 180 day mars tranfer mission, Second for ISS [9]</t>
  </si>
  <si>
    <t>100
83</t>
  </si>
  <si>
    <t>9
9</t>
  </si>
  <si>
    <t>Hand tools and accessories</t>
  </si>
  <si>
    <t>crew-CS</t>
  </si>
  <si>
    <t>Sleep provisions (restraints only)</t>
  </si>
  <si>
    <t>Crew quarter</t>
  </si>
  <si>
    <t>17
38</t>
  </si>
  <si>
    <t xml:space="preserve">
9</t>
  </si>
  <si>
    <t>42/24
48
56
11</t>
  </si>
  <si>
    <r>
      <t xml:space="preserve">Water processing assembly </t>
    </r>
    <r>
      <rPr>
        <b/>
        <sz val="11"/>
        <color theme="1"/>
        <rFont val="Calibri"/>
        <family val="2"/>
        <scheme val="minor"/>
      </rPr>
      <t>WPA</t>
    </r>
  </si>
  <si>
    <t>48
56</t>
  </si>
  <si>
    <r>
      <t xml:space="preserve">Coolant supply and return or Internal Thermal Control System </t>
    </r>
    <r>
      <rPr>
        <b/>
        <sz val="11"/>
        <color theme="1"/>
        <rFont val="Calibri"/>
        <family val="2"/>
        <scheme val="minor"/>
      </rPr>
      <t>ITCS</t>
    </r>
  </si>
  <si>
    <t>124-689</t>
  </si>
  <si>
    <t>Vacuum access jumper (hose)</t>
  </si>
  <si>
    <t>Portable breathing apparatus PBA</t>
  </si>
  <si>
    <t>11
9</t>
  </si>
  <si>
    <r>
      <t xml:space="preserve">Solid Electrolyte Oxygen System </t>
    </r>
    <r>
      <rPr>
        <b/>
        <sz val="11"/>
        <color theme="1"/>
        <rFont val="Calibri"/>
        <family val="2"/>
        <scheme val="minor"/>
      </rPr>
      <t>SEOS</t>
    </r>
  </si>
  <si>
    <t>The objective for the high pressure-high purity oxygen supply task is to develop the capability to recharge extravehicular activity (EVA) tanks as well as provide on-demand medical oxygen</t>
  </si>
  <si>
    <t>very low trl</t>
  </si>
  <si>
    <r>
      <t xml:space="preserve">High Pressure Electrolysis </t>
    </r>
    <r>
      <rPr>
        <b/>
        <sz val="11"/>
        <color theme="1"/>
        <rFont val="Calibri"/>
        <family val="2"/>
        <scheme val="minor"/>
      </rPr>
      <t>HPE</t>
    </r>
  </si>
  <si>
    <t>Hydrogen peroxide H2O2</t>
  </si>
  <si>
    <t>2H2O2 -&gt; O2 + 2H2O</t>
  </si>
  <si>
    <r>
      <t xml:space="preserve">Condensing Heat Exchanger </t>
    </r>
    <r>
      <rPr>
        <b/>
        <sz val="11"/>
        <color theme="1"/>
        <rFont val="Calibri"/>
        <family val="2"/>
        <scheme val="minor"/>
      </rPr>
      <t>CHX</t>
    </r>
  </si>
  <si>
    <t>HX ORU</t>
  </si>
  <si>
    <t>8
9</t>
  </si>
  <si>
    <t>23
34</t>
  </si>
  <si>
    <r>
      <t xml:space="preserve">Heat Exchanger </t>
    </r>
    <r>
      <rPr>
        <b/>
        <sz val="11"/>
        <color theme="1"/>
        <rFont val="Calibri"/>
        <family val="2"/>
        <scheme val="minor"/>
      </rPr>
      <t>HX ORU</t>
    </r>
  </si>
  <si>
    <t>CCAA</t>
  </si>
  <si>
    <t>Consist of CHX, Temperature Sensors, TCCV, and ducting hoses</t>
  </si>
  <si>
    <t>23
13</t>
  </si>
  <si>
    <r>
      <t xml:space="preserve">Temperature Control and Check Valve </t>
    </r>
    <r>
      <rPr>
        <b/>
        <sz val="11"/>
        <color theme="1"/>
        <rFont val="Calibri"/>
        <family val="2"/>
        <scheme val="minor"/>
      </rPr>
      <t>TCCV</t>
    </r>
  </si>
  <si>
    <t>Controls the amount of air that flows through or around the CHX. Depending on the amount of cooling required, the flow through the CHX will be more or less. PI-control scheme is used, but manual overwrite is allowed.</t>
  </si>
  <si>
    <t>23; 13</t>
  </si>
  <si>
    <t>Temperature Sensor ORU</t>
  </si>
  <si>
    <t>Liquid Sensor ORU</t>
  </si>
  <si>
    <t>Detects the presence of water on the duct wall downstream of the THC assembly.</t>
  </si>
  <si>
    <r>
      <t xml:space="preserve">Water seperator </t>
    </r>
    <r>
      <rPr>
        <b/>
        <sz val="11"/>
        <color theme="1"/>
        <rFont val="Calibri"/>
        <family val="2"/>
        <scheme val="minor"/>
      </rPr>
      <t>WS</t>
    </r>
  </si>
  <si>
    <t>Pressure Sensor for WS</t>
  </si>
  <si>
    <t>WS</t>
  </si>
  <si>
    <t>Bonded foil strain gauge type with proportional differential voltage output when the bridge is imbalanced. First value from text, second from table.</t>
  </si>
  <si>
    <r>
      <t xml:space="preserve">Electrical Interface Box </t>
    </r>
    <r>
      <rPr>
        <b/>
        <sz val="11"/>
        <color theme="1"/>
        <rFont val="Calibri"/>
        <family val="2"/>
        <scheme val="minor"/>
      </rPr>
      <t>EIB</t>
    </r>
  </si>
  <si>
    <t xml:space="preserve">Provides signal conditioning for sensors that are imcompatible with the MDM, on/off control, ... </t>
  </si>
  <si>
    <t>Intermodule Ventilation Fan Assembly</t>
  </si>
  <si>
    <t>IMV</t>
  </si>
  <si>
    <t>55
55
55</t>
  </si>
  <si>
    <r>
      <t xml:space="preserve">Intermodule Ventilation </t>
    </r>
    <r>
      <rPr>
        <b/>
        <sz val="11"/>
        <color theme="1"/>
        <rFont val="Calibri"/>
        <family val="2"/>
        <scheme val="minor"/>
      </rPr>
      <t>IMV</t>
    </r>
  </si>
  <si>
    <t>Ensures air circulation throughout the ISS to provide good distribution of O2, aid in removal of CO2 and trace contaminants, and help to maintain appropiate temperature and RH. Hardware consists of two ORUs and other hardware such as ducting.</t>
  </si>
  <si>
    <t>Intermodule Ventilation Valve Assembly</t>
  </si>
  <si>
    <t>Provides the capability to isolate the atmosphere from adjacent modules when the hatches are closed. The IMV valve thus allows or prevents atmosphere exchange between adjacent modules.</t>
  </si>
  <si>
    <t>Inlet ORU</t>
  </si>
  <si>
    <t>Consists of a fan assembly, a fan deltaP sensor, and an acoustic enclosure. The fan is an impeller design with axial rotation including stator vanes and flow distributor. The deltaP pressure sensor is a linear variable pressure transducer.</t>
  </si>
  <si>
    <t>23
13
33</t>
  </si>
  <si>
    <t>on ISS; normal outlet flow = 509,7 m³/hr with pressure rise of 0,4 kPa. Nearly linear up to 935 m³/hr with 1,145 kPa rise. Mass flow pressure correction is linear from 500kg/hr at 425m³/hr to 1134kg/hr at 935m³/hr.[33]</t>
  </si>
  <si>
    <r>
      <t xml:space="preserve">Cabin Air Ducting Damper Assembly </t>
    </r>
    <r>
      <rPr>
        <b/>
        <sz val="11"/>
        <color theme="1"/>
        <rFont val="Calibri"/>
        <family val="2"/>
        <scheme val="minor"/>
      </rPr>
      <t>CADDA</t>
    </r>
  </si>
  <si>
    <t>Manual Valves to close for maintance of the BFEs</t>
  </si>
  <si>
    <t>CDRA</t>
  </si>
  <si>
    <t>Desiccant bed</t>
  </si>
  <si>
    <t>13
11</t>
  </si>
  <si>
    <t>Heat exchanger</t>
  </si>
  <si>
    <t>Humidity sensor</t>
  </si>
  <si>
    <t>Pre-cooler</t>
  </si>
  <si>
    <t>Pressure sensor</t>
  </si>
  <si>
    <t>Pump</t>
  </si>
  <si>
    <t>Sample port</t>
  </si>
  <si>
    <t>Sorbent bed</t>
  </si>
  <si>
    <t>Temperature sensor</t>
  </si>
  <si>
    <t>Valve (check)</t>
  </si>
  <si>
    <t>Valve (3-way)</t>
  </si>
  <si>
    <t>Accumulator</t>
  </si>
  <si>
    <t>EDC</t>
  </si>
  <si>
    <t>Cell</t>
  </si>
  <si>
    <t>Combustible gas sensor</t>
  </si>
  <si>
    <t>Current controller</t>
  </si>
  <si>
    <t>Current sensor</t>
  </si>
  <si>
    <t>Filter</t>
  </si>
  <si>
    <t>Flow sensor</t>
  </si>
  <si>
    <t>Flow sensor controller</t>
  </si>
  <si>
    <t>Pressure controller</t>
  </si>
  <si>
    <t>Pressure regulator</t>
  </si>
  <si>
    <t>Valve (4-way)</t>
  </si>
  <si>
    <t>Valve (quick disconnect)</t>
  </si>
  <si>
    <t>Valve (selenoid liquid)</t>
  </si>
  <si>
    <t>Valve (electrical -1)</t>
  </si>
  <si>
    <t>Valve (electrical -2)</t>
  </si>
  <si>
    <t>Valve (relief)</t>
  </si>
  <si>
    <t>Voltage sensor</t>
  </si>
  <si>
    <t>Amine bed</t>
  </si>
  <si>
    <t>SAWD</t>
  </si>
  <si>
    <t>Crew 3, 2 units</t>
  </si>
  <si>
    <t>Conductivity sensor</t>
  </si>
  <si>
    <t>Crew 3, 3 units</t>
  </si>
  <si>
    <t>Crew 3, 5 units</t>
  </si>
  <si>
    <t>Valve (diverter)</t>
  </si>
  <si>
    <t>Valve (electric)</t>
  </si>
  <si>
    <t>SFWE</t>
  </si>
  <si>
    <t>Condenser/seperator</t>
  </si>
  <si>
    <t>Electrolysis stack</t>
  </si>
  <si>
    <t>COE</t>
  </si>
  <si>
    <t>CO/H2 reactor</t>
  </si>
  <si>
    <t>Compressor</t>
  </si>
  <si>
    <t>Condenser/ separator</t>
  </si>
  <si>
    <t>Flow restrictor</t>
  </si>
  <si>
    <t>Heater</t>
  </si>
  <si>
    <t>Humidifier</t>
  </si>
  <si>
    <t>Level sensor</t>
  </si>
  <si>
    <t>Valve (eletric)</t>
  </si>
  <si>
    <t>Valve (manual)</t>
  </si>
  <si>
    <t>VCD</t>
  </si>
  <si>
    <t>conductivity sensor</t>
  </si>
  <si>
    <t>Distillation assembly</t>
  </si>
  <si>
    <t>5 units</t>
  </si>
  <si>
    <t>Tank</t>
  </si>
  <si>
    <t>2 units</t>
  </si>
  <si>
    <t>3 units</t>
  </si>
  <si>
    <t>4 units</t>
  </si>
  <si>
    <t>TIMES</t>
  </si>
  <si>
    <t>Condenser/separator</t>
  </si>
  <si>
    <t>20kg/day model, 2 units</t>
  </si>
  <si>
    <t>20kg/day model, 3 units</t>
  </si>
  <si>
    <t>20kg/day model, 4 units</t>
  </si>
  <si>
    <t>20kg/day model, 8 units</t>
  </si>
  <si>
    <t>Thermo electric device</t>
  </si>
  <si>
    <t>Water evaporator</t>
  </si>
  <si>
    <t>VPCAR</t>
  </si>
  <si>
    <t>Mass flow controller</t>
  </si>
  <si>
    <t>Oxidation reactor</t>
  </si>
  <si>
    <t>6 units</t>
  </si>
  <si>
    <t>15 units</t>
  </si>
  <si>
    <t>Vacuum pump</t>
  </si>
  <si>
    <t>10 units</t>
  </si>
  <si>
    <t>Valve (needle)</t>
  </si>
  <si>
    <t>WFRD</t>
  </si>
  <si>
    <t>AES</t>
  </si>
  <si>
    <t>delta_p sensor</t>
  </si>
  <si>
    <t>Slurper</t>
  </si>
  <si>
    <t>Wick evaporator</t>
  </si>
  <si>
    <t>MF</t>
  </si>
  <si>
    <t>Ion exchange bed</t>
  </si>
  <si>
    <t>Multifiltration bed</t>
  </si>
  <si>
    <t>Particulate filter</t>
  </si>
  <si>
    <t>pH adjuster</t>
  </si>
  <si>
    <t>8 units</t>
  </si>
  <si>
    <t>SR</t>
  </si>
  <si>
    <t>Blower silencer</t>
  </si>
  <si>
    <t>Liquid trap</t>
  </si>
  <si>
    <t>Sabatier reactor unit</t>
  </si>
  <si>
    <t>13; 57</t>
  </si>
  <si>
    <t>BR</t>
  </si>
  <si>
    <t>Bosch reactor unit</t>
  </si>
  <si>
    <t>Electric valve</t>
  </si>
  <si>
    <t>9 units</t>
  </si>
  <si>
    <t>Flow sensor 1</t>
  </si>
  <si>
    <t>Flow sensor 2</t>
  </si>
  <si>
    <t>Pyrolisis</t>
  </si>
  <si>
    <t>13; 34</t>
  </si>
  <si>
    <t>Carbon formation reactor</t>
  </si>
  <si>
    <t>Treadmill</t>
  </si>
  <si>
    <t>Shuttle treadmill</t>
  </si>
  <si>
    <t>Rowing Machine</t>
  </si>
  <si>
    <t>Shuttle rowing machine</t>
  </si>
  <si>
    <t>Flex Hoses</t>
  </si>
  <si>
    <t>Quick Disconnects</t>
  </si>
  <si>
    <t>278 - 319</t>
  </si>
  <si>
    <r>
      <t xml:space="preserve">Solid Amine Vacuum Desorption </t>
    </r>
    <r>
      <rPr>
        <b/>
        <sz val="11"/>
        <color theme="1"/>
        <rFont val="Calibri"/>
        <family val="2"/>
        <scheme val="minor"/>
      </rPr>
      <t>SAVD</t>
    </r>
  </si>
  <si>
    <t>Like the SAWD except uses vacuum to pull CO2 and H2O from the solid amine beds. Includes a hydrophilic membrane stack prior to the amine bed, for moisture removal. If not venting to space vacuum, compressor development is required and TRL is lowered to the level of compressor development. data is for crew of 6 for 400 days and Water save CO2 with new amine, second old amine (RCRS) with no water saver (uses vacuum to pull CO2 and H2O [34]</t>
  </si>
  <si>
    <t>122
122</t>
  </si>
  <si>
    <t>3
9</t>
  </si>
  <si>
    <r>
      <t xml:space="preserve">Air Polarized Concentrator </t>
    </r>
    <r>
      <rPr>
        <b/>
        <sz val="11"/>
        <color theme="1"/>
        <rFont val="Calibri"/>
        <family val="2"/>
        <scheme val="minor"/>
      </rPr>
      <t>APC</t>
    </r>
  </si>
  <si>
    <t xml:space="preserve">
566</t>
  </si>
  <si>
    <t>285
763</t>
  </si>
  <si>
    <t xml:space="preserve">
291-300</t>
  </si>
  <si>
    <t xml:space="preserve">
101</t>
  </si>
  <si>
    <t>Safe, because it doesn´t use H2</t>
  </si>
  <si>
    <t>34
46</t>
  </si>
  <si>
    <t>Plasma Arc Thermal Destruction PATD</t>
  </si>
  <si>
    <t>Safe, but only few data available</t>
  </si>
  <si>
    <r>
      <t xml:space="preserve">Cascade Distillation Subsystem </t>
    </r>
    <r>
      <rPr>
        <b/>
        <sz val="11"/>
        <color theme="1"/>
        <rFont val="Calibri"/>
        <family val="2"/>
        <scheme val="minor"/>
      </rPr>
      <t>CDS</t>
    </r>
  </si>
  <si>
    <r>
      <t xml:space="preserve">Capillary Brine Residual in Containment Water Recovery System </t>
    </r>
    <r>
      <rPr>
        <b/>
        <sz val="11"/>
        <color theme="1"/>
        <rFont val="Calibri"/>
        <family val="2"/>
        <scheme val="minor"/>
      </rPr>
      <t>BRIC</t>
    </r>
  </si>
  <si>
    <r>
      <t xml:space="preserve">Ionomer-membrane Water Processor </t>
    </r>
    <r>
      <rPr>
        <b/>
        <sz val="11"/>
        <color theme="1"/>
        <rFont val="Calibri"/>
        <family val="2"/>
        <scheme val="minor"/>
      </rPr>
      <t>IWP</t>
    </r>
  </si>
  <si>
    <t>5-6</t>
  </si>
  <si>
    <r>
      <t xml:space="preserve">Heat Melt Compactor </t>
    </r>
    <r>
      <rPr>
        <b/>
        <sz val="11"/>
        <color theme="1"/>
        <rFont val="Calibri"/>
        <family val="2"/>
        <scheme val="minor"/>
      </rPr>
      <t>HMC</t>
    </r>
  </si>
  <si>
    <t>5?</t>
  </si>
  <si>
    <r>
      <t xml:space="preserve">Carbon Dioxide Concentration Assembly </t>
    </r>
    <r>
      <rPr>
        <b/>
        <sz val="11"/>
        <color theme="1"/>
        <rFont val="Calibri"/>
        <family val="2"/>
        <scheme val="minor"/>
      </rPr>
      <t>CCA</t>
    </r>
  </si>
  <si>
    <t>ACLS</t>
  </si>
  <si>
    <t xml:space="preserve">
250</t>
  </si>
  <si>
    <t>250
250</t>
  </si>
  <si>
    <t>Water Management System has DI and biocide units that must be replaced &lt;1 year</t>
  </si>
  <si>
    <t>58
46
51</t>
  </si>
  <si>
    <t>Intermodule Ventilation Tubes</t>
  </si>
  <si>
    <r>
      <t xml:space="preserve">Restraints and Mobility Aids </t>
    </r>
    <r>
      <rPr>
        <b/>
        <sz val="11"/>
        <color theme="1"/>
        <rFont val="Calibri"/>
        <family val="2"/>
        <scheme val="minor"/>
      </rPr>
      <t>R&amp;Mas</t>
    </r>
  </si>
  <si>
    <t>44.45
19.05</t>
  </si>
  <si>
    <t>0.1048
0.0991</t>
  </si>
  <si>
    <t>12.519
12.4</t>
  </si>
  <si>
    <t>0.033134
0.03</t>
  </si>
  <si>
    <t>102.1
700
102
68</t>
  </si>
  <si>
    <t>0.57
3.9
0.3
0.09</t>
  </si>
  <si>
    <t>83.853
7.26</t>
  </si>
  <si>
    <t>0.073492
0.013308918</t>
  </si>
  <si>
    <t>96.161
118.08
112</t>
  </si>
  <si>
    <t xml:space="preserve">
0.5
0.4</t>
  </si>
  <si>
    <t xml:space="preserve">
0.261</t>
  </si>
  <si>
    <t>7
3.177
623</t>
  </si>
  <si>
    <t>0.005
1.9</t>
  </si>
  <si>
    <t>54.7483
54.3
54.7486
54</t>
  </si>
  <si>
    <t>0.43896
0.09
0.4389
0.081</t>
  </si>
  <si>
    <t>48.1
16
57.15</t>
  </si>
  <si>
    <t>0.26
0.09</t>
  </si>
  <si>
    <t>0.33
0.387984
0.43
0.42
0.45
0.11
1.55
0.448
0.4814
0.386</t>
  </si>
  <si>
    <t>79.8318
85.81
80
100
78
83
77
20</t>
  </si>
  <si>
    <t>0.271866
0.4
0.75
0.3
0.27
0.25
0.13</t>
  </si>
  <si>
    <t>0.00124
0.04
2.36
1.18
1.81+0.43
0.1133+0.1793</t>
  </si>
  <si>
    <t>3.9
10
635
318
232+33.02
51.26+93.44</t>
  </si>
  <si>
    <t>8.5
55.79+33.11</t>
  </si>
  <si>
    <t>0.056
0.17+0.099</t>
  </si>
  <si>
    <t xml:space="preserve">
0.19
0.21
3
0.8
0.01
0.7079+0.3964+5.6634</t>
  </si>
  <si>
    <t>17.9
143.53
114
91
43
31
38
45.5
198.22+949.37+202.76</t>
  </si>
  <si>
    <t>51.3
17
59.86
55
99.79
149.69
59.8
44.45</t>
  </si>
  <si>
    <t>0.21
0.07
0.04
0.2039
0.708
0.1048</t>
  </si>
  <si>
    <t>378.86
64
63.5
446
210
676+399
35</t>
  </si>
  <si>
    <t>1
0.05
0,18</t>
  </si>
  <si>
    <t>0.14
0.03</t>
  </si>
  <si>
    <t>2.21
0.5
2.21</t>
  </si>
  <si>
    <t>101.2
25
128
48
25
378+172.69
156.94+131.09
291</t>
  </si>
  <si>
    <t>0.507
0.1
0.36
0.08
3.36+1.06
0.34+0.21
0.52</t>
  </si>
  <si>
    <t>68
283
283
176+36.29</t>
  </si>
  <si>
    <t>0.24
1.57
1.95+0.24</t>
  </si>
  <si>
    <t>14.07
38</t>
  </si>
  <si>
    <t>0.04
0.051</t>
  </si>
  <si>
    <t>40.4
47.17</t>
  </si>
  <si>
    <t>455+229
928+512
245
291</t>
  </si>
  <si>
    <t>5.6
40</t>
  </si>
  <si>
    <t>0.00131
0.19</t>
  </si>
  <si>
    <t>54.45
50</t>
  </si>
  <si>
    <t>0.108
0.4</t>
  </si>
  <si>
    <t>42
114.3</t>
  </si>
  <si>
    <t>0.06
0.197</t>
  </si>
  <si>
    <t xml:space="preserve">25.3
</t>
  </si>
  <si>
    <t>Provides ventilation between adjacent modules. Value is from table [23]</t>
  </si>
  <si>
    <t>68
352+182.35
225.89+90.27</t>
  </si>
  <si>
    <t>0.23
3.36+1.06
0.3964+0.1666</t>
  </si>
  <si>
    <t xml:space="preserve">
0.0033</t>
  </si>
  <si>
    <t>LiSTOT - Life Support Trade Off Tool</t>
  </si>
  <si>
    <t>[days]</t>
  </si>
  <si>
    <t>1. Mission Definition</t>
  </si>
  <si>
    <t>2. Multi-criteria Analysis</t>
  </si>
  <si>
    <t>Weighting Coefficients (optional)</t>
  </si>
  <si>
    <t>Minimum Value (optional)</t>
  </si>
  <si>
    <t>Maximum Value (optional)</t>
  </si>
  <si>
    <t>3. ESM Analysis</t>
  </si>
  <si>
    <t>Mission Parameters (required)</t>
  </si>
  <si>
    <t>ESM Factors (required)</t>
  </si>
  <si>
    <t>Crew Size:</t>
  </si>
  <si>
    <t>Mission Duration:</t>
  </si>
  <si>
    <t>Schedule Number:</t>
  </si>
  <si>
    <t>Mass:</t>
  </si>
  <si>
    <t>Volume:</t>
  </si>
  <si>
    <t>Power:</t>
  </si>
  <si>
    <t>Cooling:</t>
  </si>
  <si>
    <t>Maintenance:</t>
  </si>
  <si>
    <t>Reliability:</t>
  </si>
  <si>
    <t>TRL:</t>
  </si>
  <si>
    <t>Crew Time:</t>
  </si>
  <si>
    <t>[kg]</t>
  </si>
  <si>
    <r>
      <t>[m</t>
    </r>
    <r>
      <rPr>
        <vertAlign val="superscript"/>
        <sz val="11"/>
        <color theme="1"/>
        <rFont val="Calibri"/>
        <family val="2"/>
        <scheme val="minor"/>
      </rPr>
      <t>3</t>
    </r>
    <r>
      <rPr>
        <sz val="11"/>
        <color theme="1"/>
        <rFont val="Calibri"/>
        <family val="2"/>
        <scheme val="minor"/>
      </rPr>
      <t>]</t>
    </r>
  </si>
  <si>
    <t>[W]</t>
  </si>
  <si>
    <t>[h]</t>
  </si>
  <si>
    <t>[kg/kg]</t>
  </si>
  <si>
    <r>
      <t>[kg/m</t>
    </r>
    <r>
      <rPr>
        <vertAlign val="superscript"/>
        <sz val="11"/>
        <color theme="1"/>
        <rFont val="Calibri"/>
        <family val="2"/>
        <scheme val="minor"/>
      </rPr>
      <t>3</t>
    </r>
    <r>
      <rPr>
        <sz val="11"/>
        <color theme="1"/>
        <rFont val="Calibri"/>
        <family val="2"/>
        <scheme val="minor"/>
      </rPr>
      <t>]</t>
    </r>
  </si>
  <si>
    <t>[kg/kW]</t>
  </si>
  <si>
    <r>
      <rPr>
        <b/>
        <sz val="12"/>
        <color theme="1"/>
        <rFont val="Calibri"/>
        <family val="2"/>
        <scheme val="minor"/>
      </rPr>
      <t>User Interface</t>
    </r>
    <r>
      <rPr>
        <sz val="12"/>
        <color theme="1"/>
        <rFont val="Calibri"/>
        <family val="2"/>
        <scheme val="minor"/>
      </rPr>
      <t>: Select, modify and adapt mission parameters, criteria and ESM factors</t>
    </r>
  </si>
  <si>
    <t>time</t>
  </si>
  <si>
    <t>task</t>
  </si>
  <si>
    <t>Crew</t>
  </si>
  <si>
    <t>O2</t>
  </si>
  <si>
    <t>CO2</t>
  </si>
  <si>
    <t>urine</t>
  </si>
  <si>
    <t>feces</t>
  </si>
  <si>
    <t>potable</t>
  </si>
  <si>
    <t>hygiene</t>
  </si>
  <si>
    <t>food</t>
  </si>
  <si>
    <t>sweat</t>
  </si>
  <si>
    <t>heat</t>
  </si>
  <si>
    <t>Sleep</t>
  </si>
  <si>
    <t>Post Sleep</t>
  </si>
  <si>
    <t>Pre-Sleep</t>
  </si>
  <si>
    <t>Personal Hygiene</t>
  </si>
  <si>
    <t>Recreation</t>
  </si>
  <si>
    <t>Exercise</t>
  </si>
  <si>
    <t>Post Exercise</t>
  </si>
  <si>
    <t>Breakfast</t>
  </si>
  <si>
    <t>Lunch</t>
  </si>
  <si>
    <t>Dinner</t>
  </si>
  <si>
    <t>hr/day</t>
  </si>
  <si>
    <t>Pressurized Volume:</t>
  </si>
  <si>
    <t>2.2
12.8
569
484</t>
  </si>
  <si>
    <t>1.0432
1.0</t>
  </si>
  <si>
    <t>1.6329
1.5</t>
  </si>
  <si>
    <t>0.002548
0.001</t>
  </si>
  <si>
    <t xml:space="preserve">
0.845
0.475</t>
  </si>
  <si>
    <t>0.004531
0.004</t>
  </si>
  <si>
    <t>0.524
0.429
0.3-0.45
68.38^0.75
0.3485^0.75
0.4512^0.75
2.826^0.75</t>
  </si>
  <si>
    <t xml:space="preserve">
530.52</t>
  </si>
  <si>
    <t>0.07
0.02
0.4
0.06
0.12
1.44
0.64</t>
  </si>
  <si>
    <t>44.4
11
44
42
61.24
115.67
89.77</t>
  </si>
  <si>
    <t>0.556-1.7
0.364
1.9
0.3-0.45</t>
  </si>
  <si>
    <t>1.41
1.36</t>
  </si>
  <si>
    <t>0.3
0.36</t>
  </si>
  <si>
    <t>150
15.1</t>
  </si>
  <si>
    <t>75.00
88.45</t>
  </si>
  <si>
    <t>0.7
3.2</t>
  </si>
  <si>
    <t>20.6
49.71</t>
  </si>
  <si>
    <t>0.04
0.393293</t>
  </si>
  <si>
    <t>0.006
0.001416</t>
  </si>
  <si>
    <t xml:space="preserve">5.10
</t>
  </si>
  <si>
    <t>17.3
21.32</t>
  </si>
  <si>
    <t xml:space="preserve">
0.04248</t>
  </si>
  <si>
    <t>38
163.2
1800</t>
  </si>
  <si>
    <t xml:space="preserve">0.2
0.59
</t>
  </si>
  <si>
    <t>Name of Assembly</t>
  </si>
  <si>
    <t>Desired Function:</t>
  </si>
  <si>
    <t>ECLSS Subsystem</t>
  </si>
  <si>
    <t>Reliability</t>
  </si>
  <si>
    <t>Mass CF</t>
  </si>
  <si>
    <t>Volume CF</t>
  </si>
  <si>
    <t>Power CF</t>
  </si>
  <si>
    <t>Cooling CF</t>
  </si>
  <si>
    <t>Maintenance CF</t>
  </si>
  <si>
    <t>Reliability CF</t>
  </si>
  <si>
    <t>TRL CF</t>
  </si>
  <si>
    <t>MCA Value</t>
  </si>
  <si>
    <t>Remove Gaseous Atmospheric Contaminants</t>
  </si>
  <si>
    <t>Process Gaseous Wastes</t>
  </si>
  <si>
    <t>Regenerate Oxygen</t>
  </si>
  <si>
    <t>Process Wastewater a)</t>
  </si>
  <si>
    <t>Process Wastewater b)</t>
  </si>
  <si>
    <t>Process Wastewater c)</t>
  </si>
  <si>
    <t>Water System Decontamination</t>
  </si>
  <si>
    <t>Accept Thermal Energy b)</t>
  </si>
  <si>
    <t>Detect Hazardous Atmosphere</t>
  </si>
  <si>
    <t>Functionname</t>
  </si>
  <si>
    <t>ECLSS 
Subsystem</t>
  </si>
  <si>
    <t>Supply Inert Gas</t>
  </si>
  <si>
    <t>Store Inert Gas</t>
  </si>
  <si>
    <t>Supply Oxygen</t>
  </si>
  <si>
    <t>Store Oxygen</t>
  </si>
  <si>
    <t>Reuse Thermal Energy</t>
  </si>
  <si>
    <t>Control Microbes</t>
  </si>
  <si>
    <t>Control Water Quality</t>
  </si>
  <si>
    <t>Supply Water</t>
  </si>
  <si>
    <t>Store Water</t>
  </si>
  <si>
    <t>Accept Wastewater</t>
  </si>
  <si>
    <t>Store Wastewater</t>
  </si>
  <si>
    <t>Store Gaseous Wastes</t>
  </si>
  <si>
    <t>Accept Solid and Concentrated Liquid Wastes</t>
  </si>
  <si>
    <t>Process Solid and Concentrated Liquid Wastes</t>
  </si>
  <si>
    <t>Potentially hazardous gaseous, vapor, aerosol and particulate atmospheric contaminants shall be detected independent of active crew observation and monitoring before they reach hazardous concentrations within the crew cabin.</t>
  </si>
  <si>
    <t>Venting of atmosphere to space shall not occur at less than 103.4 kPa.</t>
  </si>
  <si>
    <t>The total atmospheric pressure in the crew cabin shall be maintained within in the range of 96.5  to 102.7 kPa, with a minimum of 95.8 kPa.</t>
  </si>
  <si>
    <t>The inert gas nitrogen shall be supplied to points of use in accordance with applicable interface specifications for gas temperature, pressure and flow rate.</t>
  </si>
  <si>
    <t>The gaseous metabolical inert gas nitrogen shall be added to the cabin atmosphere as needed during normal operations and  to restore the atmosphere following decompression.</t>
  </si>
  <si>
    <t>Gaseous oxygen shall be added to the cabin atmosphere as needed during normal operations.</t>
  </si>
  <si>
    <t>Gaseous oxygen shall be added to the cabin to restore the atmosphere following decompression.</t>
  </si>
  <si>
    <t>Oxygen shall be supplied to points of use in accordance with applicable interface specifications for gas temperature, pressure and flow rate.</t>
  </si>
  <si>
    <t>Storage of the inert gas nitrogen shall be provided with a minimum capacity to meet usage and contingency needs, including cabin repressurization.</t>
  </si>
  <si>
    <t>Storage of oxygen or oxygen generating resources shall be provided with a minimum capacity to meet usage and contingency needs, including cabin repressurization.</t>
  </si>
  <si>
    <t>Remove or Add Sensible Heat</t>
  </si>
  <si>
    <t>Control Atmospheric Compostion</t>
  </si>
  <si>
    <t>Exchange Atmosphere between Modules</t>
  </si>
  <si>
    <t>Accept Thermal Energy a)</t>
  </si>
  <si>
    <t>Accept Thermal Energy c)</t>
  </si>
  <si>
    <t>Release Thermal Energy</t>
  </si>
  <si>
    <t>The atmospheric temperature in the crew cabin shall be maintained in the range of 291.5 to 299.8 K (18.35 - 26.65 °C) during normal operational and 90-day degraded phases. It shall be in the range of 288.7 to 302.6 K (15.6 - 29.5 °C) during 28-day emergencies.</t>
  </si>
  <si>
    <t>Rapid decompression event shall be detected independent of active crew observation or monitoring prior to the cabin total pressure decreasing by 3.4 % (or 3.4 kPa) based on a hole size of 1.3 cm to 5.1 cm in diameter.</t>
  </si>
  <si>
    <t>Detect Rapid Decompression</t>
  </si>
  <si>
    <t>Recover from Hazardous Atmosphere</t>
  </si>
  <si>
    <t>Sensible heat shall be removed from and/or added to the cabin atmosphere as needed during normal operations.</t>
  </si>
  <si>
    <t>The atmospheric temperature in the crew cabin shall be adjustable and remain within 1.1 Kelvin of the selected temperature at steady state regardless of crew activities.</t>
  </si>
  <si>
    <t>Atmospheric composition within the crew cabin shall be maintained within the specified ranges throughout the cabin volume.</t>
  </si>
  <si>
    <t>Control Atmospheric Humidity</t>
  </si>
  <si>
    <t>The atmospheric relative humidity (RH) in the crew cabin shall be maintained in the range of 25 to 70 % independent of the current phase. Nominal value is assumed to 40 %. For suited operations of less than 4 hours, it is allowed: RH &lt;= 5% for 1 hr; 5-15 % RH for 2 hr; 15-25 % RH for 4 hr. For a 90-day degraded or 28-day emergency it could be up to 75 %.</t>
  </si>
  <si>
    <t>Remove or Add Moisture</t>
  </si>
  <si>
    <t>Moisture shall be removed from and/or added to the cabin atmosphere as needed during normal operations.</t>
  </si>
  <si>
    <t>Atmosphere exchange between adjacent, non-isolated pressurized volumes shall be provided to maintain sufficiently uniform conditions for atmosphere composition control when atmospheric constituents are controlled by centralized systems.</t>
  </si>
  <si>
    <t>Excess thermal energy shall be accepted from the spacecraft/habitat atmosphere.</t>
  </si>
  <si>
    <t>Excess thermal energy shall be collected from equipment.</t>
  </si>
  <si>
    <t>Excess thermal energy shall be accepted from internal sources of liquids that require cooling according to interface specifications.</t>
  </si>
  <si>
    <t>Description</t>
  </si>
  <si>
    <t>Thermal energy shall be transferred from the thermal energy transport equipment.</t>
  </si>
  <si>
    <t>The capability to recover from a rapid decompression event within 75 hours shall be provided.</t>
  </si>
  <si>
    <t>It is permissible to transfer thermal energy to other vehicle processes and equipment, as specified by mission interface requirements.</t>
  </si>
  <si>
    <t>Excess thermal energy shall be transferred to the cooling external interface.</t>
  </si>
  <si>
    <t>Reject (Dispose of) Excess Thermal Energy</t>
  </si>
  <si>
    <t>Airborne microbes shall be removed from the cabin atmosphere as needed.</t>
  </si>
  <si>
    <r>
      <t>The concentration of airborne particulates greater than 0.5 µm  in the cabin atmosphere shall be maintained with less or same as 3.500.000 particles per m</t>
    </r>
    <r>
      <rPr>
        <vertAlign val="superscript"/>
        <sz val="11"/>
        <color theme="1"/>
        <rFont val="Calibri"/>
        <family val="2"/>
        <scheme val="minor"/>
      </rPr>
      <t>3</t>
    </r>
    <r>
      <rPr>
        <sz val="11"/>
        <color theme="1"/>
        <rFont val="Calibri"/>
        <family val="2"/>
        <scheme val="minor"/>
      </rPr>
      <t xml:space="preserve"> (0.05 mg/m³ with periodic peaks to 1 mg/m³ are allowed) during normal operational phases. The total particulate generation specified for design is 1.4 × 10^6 particles/min.</t>
    </r>
  </si>
  <si>
    <r>
      <t>The concentration of microbes within the cabin, whether airborne or on a surface, shall be controlled with less than 500 CFU per m</t>
    </r>
    <r>
      <rPr>
        <vertAlign val="superscript"/>
        <sz val="11"/>
        <color theme="1"/>
        <rFont val="Calibri"/>
        <family val="2"/>
        <scheme val="minor"/>
      </rPr>
      <t>3</t>
    </r>
    <r>
      <rPr>
        <sz val="11"/>
        <color theme="1"/>
        <rFont val="Calibri"/>
        <family val="2"/>
        <scheme val="minor"/>
      </rPr>
      <t xml:space="preserve"> during normal operational phases, less than 750 CFU per m</t>
    </r>
    <r>
      <rPr>
        <vertAlign val="superscript"/>
        <sz val="11"/>
        <color theme="1"/>
        <rFont val="Calibri"/>
        <family val="2"/>
        <scheme val="minor"/>
      </rPr>
      <t>3</t>
    </r>
    <r>
      <rPr>
        <sz val="11"/>
        <color theme="1"/>
        <rFont val="Calibri"/>
        <family val="2"/>
        <scheme val="minor"/>
      </rPr>
      <t xml:space="preserve"> during 90-day degraded phases and less than 1000 CFU per m</t>
    </r>
    <r>
      <rPr>
        <vertAlign val="superscript"/>
        <sz val="11"/>
        <color theme="1"/>
        <rFont val="Calibri"/>
        <family val="2"/>
        <scheme val="minor"/>
      </rPr>
      <t>3</t>
    </r>
    <r>
      <rPr>
        <sz val="11"/>
        <color theme="1"/>
        <rFont val="Calibri"/>
        <family val="2"/>
        <scheme val="minor"/>
      </rPr>
      <t xml:space="preserve"> during 28-day emergencies.</t>
    </r>
  </si>
  <si>
    <t>The capability to recover from a hazardous atmosphere shall be provided.</t>
  </si>
  <si>
    <t>It is permissible to regenerate oxygen.</t>
  </si>
  <si>
    <t>Water provided for crew use and consumption shall meet current established water quality requirements as defined in SSp-4100 and SSP-50260 (ISS MORD), including those for microbial control.</t>
  </si>
  <si>
    <t>Capabilities shall be provided for in-flight decontamination of water processing and storage systems.</t>
  </si>
  <si>
    <t>Water shall be supplied to points of use in accordance with applicable interface specifications for water temperature, pressure, flow rate and quality. This includes potable water for hot beverages and food hydration at a temperature between 68.3 °C and 79.4 °C, and cold beverage water with a maximum temperature of 15.6 °C. Potable water for personal hygiene shall be at a temperature between 29.4 °C and 46.1 °C. Potable water for medical events shall be at a temperature between 18 °C and 28 °C.</t>
  </si>
  <si>
    <t>Stored potable water shall provide sufficient capacity to meet missionspecific contingency needs.</t>
  </si>
  <si>
    <t>Wastewater shall be accepted from points of collection in accordance with applicable interface specifications.</t>
  </si>
  <si>
    <t>Storage for wastewater shall provide the minimum capacity necessary to meet peak and contingency storage needs.</t>
  </si>
  <si>
    <t>It is permissible to process wastewater from humidity condensate to recover potable or hygiene water.</t>
  </si>
  <si>
    <t>It is permissible to process hygiene wastewater to recover potable or hygiene water.</t>
  </si>
  <si>
    <t>It is permissible to process wastewater from urine to recover potable or hygiene water and produce a concentrated waste.</t>
  </si>
  <si>
    <t>Storage for gaseous wastes shall provide the minimum capacity necessary to meet peak and contingency storage needs.</t>
  </si>
  <si>
    <t>It is permissible to process gaseous wastes to recover useful products.</t>
  </si>
  <si>
    <t>Excess gaseous wastes shall be disposed.</t>
  </si>
  <si>
    <t>Solid and concentrated liquid wastes shall be accepted from points of collection in accordance with applicable interface specifications.</t>
  </si>
  <si>
    <t>Temporary storage of unprocessed solid and concentrated liquid wastes shall provide the minimum capacity necessary to meet peak and contingency storage needs.</t>
  </si>
  <si>
    <t>Store Solid and Concentrated Liquid Wastes a)</t>
  </si>
  <si>
    <t>Store Solid and Concentrated Liquid Wastes b)</t>
  </si>
  <si>
    <t>Long-term storage for residuals and non-recovered wastes shall be provided.</t>
  </si>
  <si>
    <t>It is permissible to process solid and concentrated liquid wastes to recover useful products.</t>
  </si>
  <si>
    <t>The atmospheric oxygen partial pressure in the crew cabin shall be maintained within the range of 19.5 to 23.1 kPa for normal operational phases, 16.5 to 23.8 kPa for 90-day degraded phases and 15.9 to 23.8 kPa for 28-day emergencies. The minimum partial oxygen pressure for 1 hour is 15.17 kPa.</t>
  </si>
  <si>
    <t>AR</t>
  </si>
  <si>
    <t>WRM</t>
  </si>
  <si>
    <t>WM</t>
  </si>
  <si>
    <t>Control Atmospheric Temperature a)</t>
  </si>
  <si>
    <t>Control Atmospheric Temperature b)</t>
  </si>
  <si>
    <t>Control Airborne Particulates</t>
  </si>
  <si>
    <t>Remove Airborne Particulates</t>
  </si>
  <si>
    <t>Dispose of Excess Gaseous Wastes</t>
  </si>
  <si>
    <t>Add Inert Gas to Atmosphere</t>
  </si>
  <si>
    <t>Add Oxygen to Atmosphere a)</t>
  </si>
  <si>
    <t>Add Oxygen to Atmosphere b)</t>
  </si>
  <si>
    <t>Add Intert Gas to Atmosphere</t>
  </si>
  <si>
    <t>Control Atmosphere Total Pressure</t>
  </si>
  <si>
    <t>Relieve Overpressure</t>
  </si>
  <si>
    <t>Control Oxygen Partial Pressure</t>
  </si>
  <si>
    <t>Remove Airborne Microbes</t>
  </si>
  <si>
    <t>Recover from Rapid Decompression</t>
  </si>
  <si>
    <t>Store Food and Food Ingredients</t>
  </si>
  <si>
    <t>Process Food and Food Ingredients</t>
  </si>
  <si>
    <t>Control Atmopsheric Humidity</t>
  </si>
  <si>
    <t>Provide Food b)</t>
  </si>
  <si>
    <t>Filter by System Level:</t>
  </si>
  <si>
    <t>Microbial Monitoring and Control</t>
  </si>
  <si>
    <t>Type</t>
  </si>
  <si>
    <t>Use</t>
  </si>
  <si>
    <t>Ambient Pressure Storage</t>
  </si>
  <si>
    <t>Water Quality Monitoring</t>
  </si>
  <si>
    <t>Water Storage</t>
  </si>
  <si>
    <t>Intramodule Atmospheric Circulation</t>
  </si>
  <si>
    <r>
      <t xml:space="preserve">Water Vapor Electrolysis </t>
    </r>
    <r>
      <rPr>
        <b/>
        <sz val="11"/>
        <color theme="1"/>
        <rFont val="Calibri"/>
        <family val="2"/>
        <scheme val="minor"/>
      </rPr>
      <t>WVE</t>
    </r>
  </si>
  <si>
    <t>Wet Oxidation</t>
  </si>
  <si>
    <t>Waste Managment - Water Systems WM-WS</t>
  </si>
  <si>
    <r>
      <t xml:space="preserve">Vapor Compression Distillation </t>
    </r>
    <r>
      <rPr>
        <b/>
        <sz val="11"/>
        <color theme="1"/>
        <rFont val="Calibri"/>
        <family val="2"/>
        <scheme val="minor"/>
      </rPr>
      <t>VCD</t>
    </r>
  </si>
  <si>
    <r>
      <t xml:space="preserve">Temperature and Humidity Control </t>
    </r>
    <r>
      <rPr>
        <b/>
        <sz val="11"/>
        <color theme="1"/>
        <rFont val="Calibri"/>
        <family val="2"/>
        <scheme val="minor"/>
      </rPr>
      <t>THC</t>
    </r>
  </si>
  <si>
    <r>
      <t xml:space="preserve">Thermoelectric Integrated Membrane Evaporation </t>
    </r>
    <r>
      <rPr>
        <b/>
        <sz val="11"/>
        <color theme="1"/>
        <rFont val="Calibri"/>
        <family val="2"/>
        <scheme val="minor"/>
      </rPr>
      <t>TIMES</t>
    </r>
  </si>
  <si>
    <t>Shuttle Rehydration Apparatus and Conduction Oven</t>
  </si>
  <si>
    <r>
      <t xml:space="preserve">Reactive Bed Plasma </t>
    </r>
    <r>
      <rPr>
        <b/>
        <sz val="11"/>
        <color theme="1"/>
        <rFont val="Calibri"/>
        <family val="2"/>
        <scheme val="minor"/>
      </rPr>
      <t>RBP</t>
    </r>
  </si>
  <si>
    <r>
      <t xml:space="preserve">Oxygen Candles </t>
    </r>
    <r>
      <rPr>
        <b/>
        <sz val="11"/>
        <color theme="1"/>
        <rFont val="Calibri"/>
        <family val="2"/>
        <scheme val="minor"/>
      </rPr>
      <t>LiClO4</t>
    </r>
  </si>
  <si>
    <r>
      <t xml:space="preserve">Molecular Sieves </t>
    </r>
    <r>
      <rPr>
        <b/>
        <sz val="11"/>
        <color theme="1"/>
        <rFont val="Calibri"/>
        <family val="2"/>
        <scheme val="minor"/>
      </rPr>
      <t>2BMS</t>
    </r>
  </si>
  <si>
    <t>Refrigerator/Freezer</t>
  </si>
  <si>
    <t>Ion Trap Mass Spectroscopy/ Mass Spectroscopy MS/MS</t>
  </si>
  <si>
    <t>High Pressure Storage</t>
  </si>
  <si>
    <t>Extreme pH</t>
  </si>
  <si>
    <r>
      <t xml:space="preserve">Fourier Transform Infrared Spectroscopy </t>
    </r>
    <r>
      <rPr>
        <b/>
        <sz val="11"/>
        <color theme="1"/>
        <rFont val="Calibri"/>
        <family val="2"/>
        <scheme val="minor"/>
      </rPr>
      <t>FTIR</t>
    </r>
  </si>
  <si>
    <t>Cryogenic Storage</t>
  </si>
  <si>
    <t>Dry Incineration</t>
  </si>
  <si>
    <t>Electroactive Carriers</t>
  </si>
  <si>
    <r>
      <t xml:space="preserve">Air Evaporation System </t>
    </r>
    <r>
      <rPr>
        <b/>
        <sz val="11"/>
        <color theme="1"/>
        <rFont val="Calibri"/>
        <family val="2"/>
        <scheme val="minor"/>
      </rPr>
      <t>AES</t>
    </r>
  </si>
  <si>
    <r>
      <t xml:space="preserve">Advanced Carbon-Formation Reactor System </t>
    </r>
    <r>
      <rPr>
        <b/>
        <sz val="11"/>
        <color theme="1"/>
        <rFont val="Calibri"/>
        <family val="2"/>
        <scheme val="minor"/>
      </rPr>
      <t>ACRS</t>
    </r>
  </si>
  <si>
    <t>Electrochemical Oxidation</t>
  </si>
  <si>
    <t>[0 to 1]</t>
  </si>
  <si>
    <t>Additional Filter and MCA Options</t>
  </si>
  <si>
    <r>
      <t>CO</t>
    </r>
    <r>
      <rPr>
        <vertAlign val="subscript"/>
        <sz val="11"/>
        <color theme="1"/>
        <rFont val="Calibri"/>
        <family val="2"/>
        <scheme val="minor"/>
      </rPr>
      <t>2</t>
    </r>
    <r>
      <rPr>
        <sz val="11"/>
        <color theme="1"/>
        <rFont val="Calibri"/>
        <family val="2"/>
        <scheme val="minor"/>
      </rPr>
      <t xml:space="preserve"> and Moisture Removal Amine Swing-Bed System </t>
    </r>
    <r>
      <rPr>
        <b/>
        <sz val="11"/>
        <color theme="1"/>
        <rFont val="Calibri"/>
        <family val="2"/>
        <scheme val="minor"/>
      </rPr>
      <t>CAMRAS</t>
    </r>
  </si>
  <si>
    <t>Atmospheric contaminants, such as CO2 and other trace contaminants, shall be removed from the cabin atmosphere as needed. The maximum allowable concentration of CO2 depends on total pressure,  2.027 kPa for 1h, and 0.53 kPa for over 24h. (See JSC-20584 for further details). This function includes CO2 reduction and removal systems.</t>
  </si>
  <si>
    <t>0.1 gas</t>
  </si>
  <si>
    <t>0.232 solid</t>
  </si>
  <si>
    <t>Consists of a recuperative heat exchanger, electric heater, oxydizer bed and 2 temperature sensors. The bed includes 0.5 kg of 3.2mm cylindrical aluminium pellets with 0.5 % Pd. It converts CH4 and CO to CO2. It is assumed as wear out item, which is mainly limited by connector seals, resistance temperature detectors, and the heater assembly (all have assumed shelf life of 30 years, and more than 5 years operation life). Peak power is 168 W</t>
  </si>
  <si>
    <t>Peak power of 11.5 W</t>
  </si>
  <si>
    <t>Fist stage is a GC that uses molecular diffusion to separate constituents and the second stage is a MS employing electromagnetic separation. A GC consists of a separation column, an injector port at one end of the column and a detection device at the other end, and a gas supply equipment to operate the system. It is based on the repetitive distribution of comounds between two phases during a continous flow. components are detected by means of a thermal conductivity sensor or a flame ionization detector. After breakthrough of one of the components out of the column, it gets identified by the MS.</t>
  </si>
  <si>
    <t>Has to monitor how many vital microorganisms able to form colonies are in the air. It is done by blowing air onto an Agar substrate in an incubator and counting the colonies after 24h. Special precautions are necessary to avoid contamination of the habitat. Evaluation is done on ground by video picture. Control includes specialized filter systems. Data is for crew of 6 on mars transfer vehicle [14]</t>
  </si>
  <si>
    <r>
      <t xml:space="preserve">Utilize synthetic zeolites or metal ion alumino-silicates for CO2 collection. 2 synthetic zeolites are used alternativly for adsorption and desorption of CO2. Silica gel beds may be included to remove moisture. Technologies are 4BedMolecularSieve (4BMS) and 2BMS. Wet CO2-laden process air enters the adsorbing desiccant bed where water vapor is removed. Dry air passes blower to overcoming system pressure drops. Then passes through a pre-cooler, removing blower compression and motor and adsorption generated heat. The adsorbing CO2 removal bed removes CO2. Next directed into desorbing desiccant bed for rehumification and back into control system. Adsorption efficiency is highest at low temperatures, so needs air-liquid heat exchanger. Use of Zeolite 5A molecular sieve material requires much heat. </t>
    </r>
    <r>
      <rPr>
        <b/>
        <sz val="11"/>
        <color theme="1"/>
        <rFont val="Calibri"/>
        <family val="2"/>
        <scheme val="minor"/>
      </rPr>
      <t>CDRA can maintain required pCOs of &lt;5,3mmHg for up to 9 crewmembers</t>
    </r>
    <r>
      <rPr>
        <sz val="11"/>
        <color theme="1"/>
        <rFont val="Calibri"/>
        <family val="2"/>
        <scheme val="minor"/>
      </rPr>
      <t>. First technical data is for 3 people, second from [10] on ISS (peak power of 1487 W), third is from [12] also describes ISS CDRA, forth for crew of 6 on Mars transit vehicle [14], fifth for crew of 3 [9], sixth per kg/day CO2 [27], crew of 6 for 400 days [34], System+ORU on ISS [42], kg/CMd [43], crew of 4 [45], crew of 4 without ancillary comp for CO2 collection [46], for ISS with Crew of 6 [56], planning for ISS [23]</t>
    </r>
  </si>
  <si>
    <t>Very similar to N2 from hydrazine system. The ammonia dissociation reactor requires a preheater as the reaction is not self-propagating. H2 is separated from N2 using palladium-silver alloy tubes.</t>
  </si>
  <si>
    <t>Tank mass penalty for hydrazine is 0.2 kg compared to 0.5 kg for cryogenic N2 storage. It has also higher density, comparable to water. Thermal catalytic dissocation of hydrazine is a commodity, used on most satellites. It consists of a catalytic hydrazine decomposistion reactor followed by a hydrogen separator and catalytic oxidizer. Three heat exchangers required to dump waste heat. The separator removes H2 from N2 product stream. The catalytic oxidizer oxidizes any remaining ammonia and H2 to N2 and H2O.</t>
  </si>
  <si>
    <t>Each candle yields 0.8 kg O2 (from 2.2 kg LiClO4) and burns between 5 and 20 minutes, which produces 600 L O2 at 20°C. First data for one cartridge without structure/hardware [15], second per kg O2 production with 10 kg structure [27], for SFOG system of 6 CM for 25 days [45], and for BOCS system of 6 CM for 25 days [45]</t>
  </si>
  <si>
    <t>Life limit of 10 years</t>
  </si>
  <si>
    <t xml:space="preserve">1.63
</t>
  </si>
  <si>
    <t xml:space="preserve">0.0045
</t>
  </si>
  <si>
    <t>Life limit of 7.72 years</t>
  </si>
  <si>
    <t>Life limit of 4.17 years</t>
  </si>
  <si>
    <t>RBP can oxidize contaminants at low T (394K). Use of synergistic combination of plasma and catalyst. Air passes through an annular reactor filled with alumina catalyst, where it is partially ionized into plasma. Catalyst main function is increase the time contaminants modules spend in the active plasma region, where plasma-generated high-energy electrons and subsequently produced species oxidize toxic materials. It can also perform as highly efficient electrostatic precipitator to collect and deactivate hazardous particulate material.</t>
  </si>
  <si>
    <t>Mixture of calcium hydroxide (Ca(OH)2) (95% dry weight), sodium-, potassium- and barium hydroxides as "activtors". Water necessary for reaction with 12-19 % of mixture. A series of reactions occurs whereby CO2 goes into solution and forms carbonic acid, which then reacts with hydroxide to form sodium carbonate and regenerate the water consumed earlier. The sodium carbonate reacts with the hydrated lime to form calcium carbonate and regenate caustic potash. Theoretical capacity for CO2 is 0.488 kg CO2 per kg sorbent. Shearwater Research says 100 g Sodasorb absorbs 15 L CO2 and an 8 hour capacity holds around 1 kg absorbent.</t>
  </si>
  <si>
    <r>
      <t xml:space="preserve">SAWD is similar to 2BMS, but uses steam heated solid amine (WA-21). Degrades fairly rapidly with time. Requiring </t>
    </r>
    <r>
      <rPr>
        <b/>
        <sz val="11"/>
        <color theme="1"/>
        <rFont val="Calibri"/>
        <family val="2"/>
        <scheme val="minor"/>
      </rPr>
      <t>hygiene water</t>
    </r>
    <r>
      <rPr>
        <sz val="11"/>
        <color theme="1"/>
        <rFont val="Calibri"/>
        <family val="2"/>
        <scheme val="minor"/>
      </rPr>
      <t xml:space="preserve"> for steam which increases load on heat exchanger. Desortion takes places at cabin pressure. Water and amine reacts and form a bicarbonate with CO2. water vapour releases CO2. 20-35 wt-% of water in resin bed is required for optimum absorption.  Technical data is for 3 people [1], and per kg-day of CO2 removal [27], from STS [?], , crew of 6 for 400 days [34], crew of 4 for ISS without CO2 collection system [46], for Crew of 9 [51], Crew of 6 on STS in LARS project [20], ACLS CCA [58]</t>
    </r>
  </si>
  <si>
    <r>
      <t>Alkali and alkaline earth metal superoxides are solid chemicals which serves as dual purpose of scrubbing CO2 and providing O2. Most used superoxide in soviet union was potassium superoxide (KO2), which has a low utilization efficiency of 50-80% and some overheating problems. The density is 2.14 g/cm</t>
    </r>
    <r>
      <rPr>
        <vertAlign val="superscript"/>
        <sz val="11"/>
        <color theme="1"/>
        <rFont val="Calibri"/>
        <family val="2"/>
        <scheme val="minor"/>
      </rPr>
      <t>3</t>
    </r>
    <r>
      <rPr>
        <sz val="11"/>
        <color theme="1"/>
        <rFont val="Calibri"/>
        <family val="2"/>
        <scheme val="minor"/>
      </rPr>
      <t>.  The theoretical capacity of KO2 for CO2 is 0.309 kg CO2/kg sorbent and 0.388 kg O2/kg sorbent are produced. Better is Ca(O2)2 (2,91 g/cm</t>
    </r>
    <r>
      <rPr>
        <vertAlign val="superscript"/>
        <sz val="11"/>
        <color theme="1"/>
        <rFont val="Calibri"/>
        <family val="2"/>
        <scheme val="minor"/>
      </rPr>
      <t>3</t>
    </r>
    <r>
      <rPr>
        <sz val="11"/>
        <color theme="1"/>
        <rFont val="Calibri"/>
        <family val="2"/>
        <scheme val="minor"/>
      </rPr>
      <t>) or a mixture of both. Also carbonate, like potassium (K2CO3), or sodium superoxides are in this group. The superoxides reacts with moisture in the atmosphere to produce O2 and potassium hydroxide (KOH-). The KOH- then absorbs the CO2 in the atmosphere. The chemical equilibria are complex and depend on the levels of moisture and CO2 and the temperature in the sorbent bed. The potassium carbonate is gradually consumed therefore limiting the life of the process to about 90 cycles. The KHC03 reverts back to K2C03 when heated to about 150°C. Data is for KO2 system used by russians (Soyuz) [45]</t>
    </r>
  </si>
  <si>
    <t>Waste water is evaporated and compressed to raise its saturation T and then condensing the vapor on the surface in direct thermal contact with the evaporator. The resultant heat flux from condenser to evaporator is sufficent to evaporate a mass equal to that being condened, so this is a thermally passive process. It enables the recovery of more than 96 % of water contained in urine, concentrating urine to over 50 % solids. Unevaporated waste water is recirculated unil the solids concentration reaches specified concentration. Included in UPA on ISS. first data is from [1], second data is per person from [9], unknown [13], crew of 6 for 400 days [34], kg/CMd [43], crew of 4 for 450day Mars transit [48], crew of 9 for 500 day mission [51], ISS VCD mit processing rate of 8.45 kg/d [11]</t>
  </si>
  <si>
    <t>Untreated unrine is evaporated by a bundle of hollow fiber membranes made from a perfluorinated ion-exchange polymer. The vapor is mixed with air and recycled process vapor and flows into the NH3 oxidation catalyst, which contains 0.5 % platinum on alumina pellets and operates at 523 K. There, NH3 is oxidized to a mix of N2O and N2. volitile hydrocarbons are oxidized to CO2 and H2O. The H2O is seperated in the following condenser, which contains little NH3, few hydrocarbons and low conductivity, so requires only pH adjustment to meet potable water standards. After that, a portion of the flow is treated in the second bed, where N2O is catalytically decomposed to N2 and O2, the rest is recycled in the loop. The bed contains 0.5 % ruthenium on alumina pellets and operates at 723 K. The whole loop are maintained above pasteurization T of 347 K to maintain water quality and minimizing/eliminating growth of microorganisms. Third data is for crew of 6 for 400 days [34], crew of 4 for 450 day Mars transit [48]</t>
  </si>
  <si>
    <t>Power of 30 W is peak power (both valves at same time), 3 on ISS with 2 spares. Includes two valves mounted in series in a single housing: Vent/Relief Isolation Valve (VRIV) and Vent/Relief Control Valve (VRCV). Each valve intependently powered and controlled.</t>
  </si>
  <si>
    <t>WVE electrolyses directly from cabin air. Moist air is feed to the anode of the SFWE-style electrolysis cell, producing O2 enriched steam at the anode and H2 at the cathode. Helps to control cabin humidity and having few interfaces. Potential candidate for providing a safe haven atmo regeneration system. data for crew of 3 [1], from STS [?]</t>
  </si>
  <si>
    <t>Data is for crew of 6 on mars transit vehicle [14]</t>
  </si>
  <si>
    <t>System is employed on ISS. Data is for crew of 6 on mars transfer vehicle [14], for ISS [?], crew of 6 for 400 days ISS baseline (VCD, MF, VRA) and adv Node 3 (lot of Bioreg.)[34], crew of 4 for 450 day Mars transit [48], for ISS (should be Crew of 4) [56]</t>
  </si>
  <si>
    <t>2463.74
435
3377
356
1612+2.55</t>
  </si>
  <si>
    <t>Handwash/mouthwash faucet</t>
  </si>
  <si>
    <t>Data is for crew of 6 for 180 day mars tranfer mission [9]</t>
  </si>
  <si>
    <t>Data is for crew of 6 for 180 day mars tranfer mission (2 toilets)[9], one vacuum toilet [34]</t>
  </si>
  <si>
    <t>Data is for crew of 6 for 180 day mars tranfer mission [9], crew of 9 for 500 days [51]</t>
  </si>
  <si>
    <t>Each crewquarter should provide at least 1.5 m³ for sleeping and 0.63 m³ for stowing personal equipment. If desk, computer and communication system is installed, add another 1.5 m³</t>
  </si>
  <si>
    <t>Data is for crew of 6 for 180 day mars tranfer mission [9], one bulk compactor</t>
  </si>
  <si>
    <t>Flexible hose for overboard vent</t>
  </si>
  <si>
    <t>0.00043 
0.0032</t>
  </si>
  <si>
    <t>Plate fin core design with a four-pass cross counter flow coolant circuit, with 33 air and 34 coolant layers constructed of stainless steel ruffled fins. Air-side passages are coated with a hydrophilic material that promotes film wetting on the sufaces ..., 8 h/w dryout to prevent microbial growht and 5 years lifetime</t>
  </si>
  <si>
    <t xml:space="preserve">1.66
</t>
  </si>
  <si>
    <t xml:space="preserve">0.00057
</t>
  </si>
  <si>
    <t xml:space="preserve">0.0099
</t>
  </si>
  <si>
    <t>High pressure oxygen supply by water electrolysis at 24.8 MPa</t>
  </si>
  <si>
    <t>Liquid H2O2 which is unstable. Decomposed into O2 and H2O.</t>
  </si>
  <si>
    <t>Water tank for storage system based on included mass</t>
  </si>
  <si>
    <t xml:space="preserve">Measures temperature with 2 redundant temperature sensors in series. One unit is installed after TCCV, another before Inlet ORU. </t>
  </si>
  <si>
    <t xml:space="preserve">Design is based on space shuttle/ spacelab WS. Consist of rotating drum, pitot tube, centrifugal fan, relief fan ... </t>
  </si>
  <si>
    <t>For a crew of 4, 1 unit</t>
  </si>
  <si>
    <t>Removes moisture from air stream. Data for a crew of 4 [13] and on CDRA on ISS [11] , 2 units</t>
  </si>
  <si>
    <t>Crew of 4, 2 units</t>
  </si>
  <si>
    <t>Crew of 4, 4 units</t>
  </si>
  <si>
    <t>Crew of 4, 1 unit</t>
  </si>
  <si>
    <t>Crew of 4, 3 units</t>
  </si>
  <si>
    <t>Crew of 4, 7 units</t>
  </si>
  <si>
    <t>Crew of 4, 6 units</t>
  </si>
  <si>
    <t>Crew of 4, 5 units</t>
  </si>
  <si>
    <t>Also called INL co-electrolysis process has  a dual purpose of reducing CO2 directly from a concentrator as well as producing O2. The solid electrolyte subsystem can electrolyse both CO2 and H2O vapor to continously generate enough O2 for a person and cabin leakage. Technical problem, such as ineffective high T (&gt;1140K) and ceramic-to-ceramic seals. Both sides of the electrolyte are coated with a porous metal catalyst-electrode, such as platinum. In the CO reactor (Boudouard reactor), Ni, Fe or Co catalyst are used. Since this is an electrolytic process, it is capable of operating at several times of its design capacity. Increased O2 output is archieved by merely increasing the DC voltage. Data is for theoretical processing of 1kg/s CO2 [19], Capacity to produce 36.8 kg/d [13]</t>
  </si>
  <si>
    <t>Capacity to produce 36.8kg/d, 2 units</t>
  </si>
  <si>
    <t>Capacity to produce 36.8kg/d, 9 units</t>
  </si>
  <si>
    <t>Capacity to produce 36.8kg/d, 3 units</t>
  </si>
  <si>
    <t>Capacity to produce 36.8kg/d, 4 units</t>
  </si>
  <si>
    <t>Capacity to produce 36.8kg/d,8 units</t>
  </si>
  <si>
    <t>1 unit</t>
  </si>
  <si>
    <t>Crew 3, 1 unit</t>
  </si>
  <si>
    <t>Capacity to produce 36.8kg/d, 1 unit</t>
  </si>
  <si>
    <t>11 unit</t>
  </si>
  <si>
    <t>20kg/day model, 1 unit</t>
  </si>
  <si>
    <t>1 unit (2 units for ACLS). Technical data for ACLS ORU for a crew of 3 [57]</t>
  </si>
  <si>
    <t>Also known as Carbonization, heat waste to 250 °C and 10342 kPA then cool. Liquid phase process. Recovers water with a second process. Can be used for deactivation after biological processes. Upon heating in an O2 free atmosphere, most organics are split into gas, solid and liquid fractions. Endothermic reaction. data for unknow crew [13, from 1]</t>
  </si>
  <si>
    <t>In-flight tool kit</t>
  </si>
  <si>
    <t>Handtools, test equipment, fixtures and large machine tools, and consumables like wires, tape, hoses etc. First data is from Shuttle, second from ISS and third estimate for Mars trip [9]</t>
  </si>
  <si>
    <t>Material is convoluted Inconel with overwrapped stainless steel braid</t>
  </si>
  <si>
    <t>Self sealing type with 250 demate/mate cycles</t>
  </si>
  <si>
    <t xml:space="preserve">80
</t>
  </si>
  <si>
    <t xml:space="preserve">0.15
</t>
  </si>
  <si>
    <t>Like the EDC but doesn´t require H2, i.e. safer but is a net power consumer. Data is for crew of 6 for 400 days [34], for crew of 4 for ISS [46]</t>
  </si>
  <si>
    <t>Data for crew of 6 for 400 days [34]</t>
  </si>
  <si>
    <t>High-capacity, five-stage rotary vacuum distillation machine</t>
  </si>
  <si>
    <t>For recovery of up to 98% water from brine</t>
  </si>
  <si>
    <t>Dual-membrane distillation process. The first layer, a microporous membrane, allows bulk gas permeation at high rates while retaining the liquid and solids. The second layer is an ionomer membrane with selective permeability to water vapor. The ionomer transports water vapor while trapping harmful volatiles. Water vapor is swept away by a purge gas while residual dehydrated brine and volatiles are fully contained within the membranes</t>
  </si>
  <si>
    <t>The CO2 Concentration Subsystem (CCA) removes CO2 from the cabin and passes it to the CRA for reprocessing. Technical data includes also CO2 removal but no buffer tank -&gt; SAWD [58], for SAWD system and crew of 4 with vacuum pump and buffer tank [46]</t>
  </si>
  <si>
    <t>Needed tubes for IMV</t>
  </si>
  <si>
    <t>Name</t>
  </si>
  <si>
    <t>Sum [kg/CM*d]</t>
  </si>
  <si>
    <r>
      <t xml:space="preserve">Metabolic factors
</t>
    </r>
    <r>
      <rPr>
        <i/>
        <sz val="11"/>
        <color theme="1"/>
        <rFont val="Calibri"/>
        <family val="2"/>
        <scheme val="minor"/>
      </rPr>
      <t>(Values taken from NASA's Life Support Baseline Values and Assumptions Document)</t>
    </r>
  </si>
  <si>
    <t>Membrane filters out CO2 from air</t>
  </si>
  <si>
    <t>2
0.5
2</t>
  </si>
  <si>
    <t>Consists of a sabatier reactor, gas/liquid separator to remove water from methane and carbon formation reactor (CFR). CFR packs carbon better than Bosch. But operation T of CFR over 1144 K. Technical data for 3 people [1], crew of 6 for 400 days [34], System+ORU on ISS for "normal" CRS [42]</t>
  </si>
  <si>
    <t>Consist of a canister with included 22.7 kg 4x6 mesh type 3032 granular activated charcoal treated with 10 wt-% phoshporic acid (H3PO4). Removes NH3, dichlormethane, and VOCs. Post-flight test indicate a service-life of 6 years for a crew of 3 (2.25 years for 6). Most contaminants satured in fist quarter.</t>
  </si>
  <si>
    <t xml:space="preserve">400
</t>
  </si>
  <si>
    <t>CO2 Removal</t>
  </si>
  <si>
    <t>CO2 Reduction</t>
  </si>
  <si>
    <t>Excess CO2 shall be removed from the atmosphere by reduction.</t>
  </si>
  <si>
    <t>Pretreated urine is pumped through a particulate filter to a wick package using a pulse feed technique. A circulating heated air stream evaporates water from the urine, leaving urine solids in the wicks. When sufficient urine solids accumlate in the wicks, the feed pump is stopped and the loaded wicks are dried down and replaced with a new wick package. Humid air leaving the package condensed by a heat exchanger. A water separator downstream removes water from the air stream. Acceptable water passes through a microbial check valve to posttreatment section, where it is filtered. This results in nearly 100% water recovery. Technical data is for supply of 8 people [1], unknown [13], [43], crew of 4 for 450 day Mars transit [48], crew of 8 for 500 day mission [51]</t>
  </si>
  <si>
    <t>178
345+27.67
117.93+225.83</t>
  </si>
  <si>
    <t>0.05
3.35+0.3
0.3398+1.1893</t>
  </si>
  <si>
    <t>Peak power of 51.75 W. life time limit of 5 years.</t>
  </si>
  <si>
    <t>Intramodule atmosphere circulation. 6 on ISS</t>
  </si>
  <si>
    <t>The Amine Swingbed is an amine-based, vacuum-regenerated adsorption technology for removing carbon dioxide and humidity from a habitable spacecraft environment, and is the baseline technology for the Orion Program’s Multi-Purpose Crew Vehicle (MPCV). Uses a pair of interleaved-layer beds filled with SA9T, the amine sorbent. A linear multiball valve rotates 270° back and forth to control the flow of air and vacuum to adsorbing and desorbing beds: one bed adsorbs CO2 and H2O from cabin air while the other bed is exposed to vacuum for regeneration by venting the CO2 and H2O. The two beds are thermally linked, so no additional heating or cooling is required. The technology can be applied to habitable environments where recycling CO2 and H2O is not required such as short duration missions. It can be used as a backup, which was happend on ISS. Second technical data for comparable system (RCA2 spacesuit) [45]</t>
  </si>
  <si>
    <t>Metal oxides have been considered for use in space habitats and EMU suits. During a 1973 study a silver oxide formulation (80.3 percent Ag20, 10.4 percent KOH, and 9.3percent Na2Si03) was found to have the best overall characteristics (absorption capacity, strength, desorption characteristics, etc.). Silver dioxide formulation has a absorption capacity of 0.12 kg/kg oxide at pCO2 of 0.4 kPa with requiring power of 1.86*10^6 J/kg CO2. Due to expansion and contraction during absorption and desorption, the metal oxide pellets structurally breakdown, and therefore have a limited life. Design goal is 50-60 regenerations with cycle times of 8 h. Water is required for the absorption reaction and enhances the sorption capacity, reaction kinetics, and cycle life, so moisture in the process atmosphere is necessary and high humidity may be preferable. This technology is used in ISS EMUs.</t>
  </si>
  <si>
    <r>
      <t xml:space="preserve">Molecular sieves </t>
    </r>
    <r>
      <rPr>
        <b/>
        <sz val="11"/>
        <color theme="1"/>
        <rFont val="Calibri"/>
        <family val="2"/>
        <scheme val="minor"/>
      </rPr>
      <t xml:space="preserve">4BMS </t>
    </r>
    <r>
      <rPr>
        <sz val="11"/>
        <color theme="1"/>
        <rFont val="Calibri"/>
        <family val="2"/>
        <scheme val="minor"/>
      </rPr>
      <t>or Carbon Dioxide Removal Assembly</t>
    </r>
    <r>
      <rPr>
        <b/>
        <sz val="11"/>
        <color theme="1"/>
        <rFont val="Calibri"/>
        <family val="2"/>
        <scheme val="minor"/>
      </rPr>
      <t xml:space="preserve"> CDRA</t>
    </r>
  </si>
  <si>
    <t xml:space="preserve">
860
546
536.06
900
945
498
497</t>
  </si>
  <si>
    <t>366.5 - 811
700 nominal
473-673
523-573
450-800</t>
  </si>
  <si>
    <t>50
148.59
60
263
260
50
130
2910</t>
  </si>
  <si>
    <t>268
148.59
640/480
-56
288
183kJ/mol_CO2
20286.66</t>
  </si>
  <si>
    <t>1.7*10^3</t>
  </si>
  <si>
    <t>0.395 - 10
0.35/1/20
680 (max)</t>
  </si>
  <si>
    <t>180 (250 peak)
194.35
200
150
180
244
128</t>
  </si>
  <si>
    <t>130 [23]
194.35
200</t>
  </si>
  <si>
    <t>0.395 - 10</t>
  </si>
  <si>
    <t xml:space="preserve">
2.76
7.081</t>
  </si>
  <si>
    <t>Similar to SFWE, using solid polymer electrolyte of perfluorinated sulfonic acid polymer about 0.3 mm thick. Requires feed water in direct contact with cell anode to provide cooling. No need of H2O-O2 seperator but dynamic 0g phase seperator pump for H2O-H2 seperation. This type is used on ISS. Technical data for crew of 6 on mars transit vehicle [14], crew of 6 for 400 days [34], crew of 6 [52], for crew of 6 on ISS [10], for crew of 6 [9], System+ORU for ISS [42], kg/CMd [43], Crew of 4 on ISS [56]</t>
  </si>
  <si>
    <t>1801.94
235
600
567</t>
  </si>
  <si>
    <t>3288.88
1021
1420
2100
1276</t>
  </si>
  <si>
    <r>
      <t>SFWE electrolyses</t>
    </r>
    <r>
      <rPr>
        <b/>
        <sz val="11"/>
        <color theme="1"/>
        <rFont val="Calibri"/>
        <family val="2"/>
        <scheme val="minor"/>
      </rPr>
      <t xml:space="preserve"> hygiene water </t>
    </r>
    <r>
      <rPr>
        <sz val="11"/>
        <color theme="1"/>
        <rFont val="Calibri"/>
        <family val="2"/>
        <scheme val="minor"/>
      </rPr>
      <t>to produce O2. Water resting statically in feed compartment diffuses as vapour through a membrane and into an aqueous KOH electrolyte. O2 gas is produced at the anode, with H2O vapor which must be removed by an seperator. Has capability of circulating feed water to provide any needed cooling. Water feed and cell matrices consists of thin asbestos sheets saturated with a hygroscopic aqueous potassium hydroxide (KOH) solution.</t>
    </r>
    <r>
      <rPr>
        <i/>
        <sz val="11"/>
        <color theme="1"/>
        <rFont val="Calibri"/>
        <family val="2"/>
        <scheme val="minor"/>
      </rPr>
      <t xml:space="preserve"> STS uses 3 cells, with each mean power output of 7.35 kW and max of 14 kW. 0.413kg H2O/kWh, 0.0454kg/kWh H2, 0.367kg/kWh O2</t>
    </r>
    <r>
      <rPr>
        <sz val="11"/>
        <color theme="1"/>
        <rFont val="Calibri"/>
        <family val="2"/>
        <scheme val="minor"/>
      </rPr>
      <t>. Technical data is for crew of 4 [13], crew of 6 for 400 days [34], crew of 6 [52], detailed system per CM [53]</t>
    </r>
  </si>
  <si>
    <t>Uses thermoelectric heat pump to transfer heat from a water condenser to an evaporator. Pretreatment of urine with ozone and sulfuric acid to fix free NH3, inhibit microbial growth, control odor and reduce foaming are necessary. The pretreated urine flows through two parallel heat exchanges in contact with the hot side of a thermoelectrical heat pump, which heated it to 339K. Then it flows to the evaporator which consists of 600 nafion tubes. The exteriour of the fibers is exposed to reduced pressure (17.2 kPa) causing water to evaporate. The vapor flows to the condenser whch is a porous plate surface in contact with the cold junctions of the thermoelectric pump. Partially condensed, the steam flows through an air-cooled heat exchanger where condensation process is completed. Latent heat is recoverd and reused in the evaporative process. The condensate is tested for water quality and gets deliverd as product water by a centrifuge-type pump. This pump acts as gas/liquid seperator. Unacceptable condensate is reprocessed. Technical data is based on a 20 kg/day model [13], crew of 4 for 450 day Mars transit [48], crew of 9 for 500 day mission [51]</t>
  </si>
  <si>
    <t>Waste water is purified by flowing it through filters and packed columns connected in series. Only required pressure is to overcome the small pressure drops across the filters and packed beds. The 3 basic steps are, particulates are removed by filtration, suspended organic contaminants are removed by a bed of activated charcoal and last inorganic salts are removed by cation and anion exchange resin beds. Six unibeds are installed in series. When the first one becomes too contaminated, it will be removed and a new one is placed at the end. Technical data is for support of 4 people [1], second data per person from [9], third and fourth unknown, but includes all equipment, maybe ISS, needs resupply of 478 kg/y [13], crew of 4 for 450 day Mars transit [48], crew of 9 for 500 day mission [51]</t>
  </si>
  <si>
    <t>4.31
3</t>
  </si>
  <si>
    <t>up to 104.7</t>
  </si>
  <si>
    <t>291.5 - 299.8</t>
  </si>
  <si>
    <t>96.5 -102.7</t>
  </si>
  <si>
    <t>276.5-294.2</t>
  </si>
  <si>
    <t>6.8  (15.7 dynamic)</t>
  </si>
  <si>
    <t>0.24
0.2</t>
  </si>
  <si>
    <t>0.15
7.68</t>
  </si>
  <si>
    <t xml:space="preserve">
62 - 104.8</t>
  </si>
  <si>
    <t>Excess CO2 shall be removed from the atmosphere.</t>
  </si>
  <si>
    <t>Controls total and partial pressures</t>
  </si>
  <si>
    <t>1.64 liquid</t>
  </si>
  <si>
    <t>ISS refrigerator/freezer is composed of 4 compartments. In refrigerator mode, all compartments akts as refrigerators. Other mode is refrigerator/freezer, in which 2 compartements acts as refrigerator or freezer. Thermodynamic coefficient of performance (COP) is 0.36. Maintance is on ground! Internal volume is 0.614 m³ and load is 295 kg [10], Second data is for crew of 6 on 6-12 m lunar surface mission [9], third for crew of 6 on 500 day mars mission [9]</t>
  </si>
  <si>
    <t>12
0
22.5</t>
  </si>
  <si>
    <t>CO2 laden air flows through canister with LiOH ganules. 2 kg LiOH removes around 0.84 kg CO2 (1 persons output). Weight inludes structure and removes 4kg CO2 and produces 1.6 kg H2O. Second data is from Shuttle, dry cartidge weight is 0.907 kg and 2.27 kg LiOH/cartidge, and rack weight of 3.63 kg for 3 cartiges (0.0311m³); Shuttle had 9 racks (27 canister) and must changeout all 12 h for a crew of 4 (7. 6h for 6 CM, 3.2 h for 10 CM); H2O production was 0.39 kg/CMd; system consist of temperature control assembly (with valve and controller) and the LiOH controller; Weight for hardware was 10.43 kg + 3 contingency canisters 9.52kg + 1 storage rack 3.63 kg = fixed weight of 23.58 kg [20], crew of 6 for 400 days [34], data from [45]</t>
  </si>
  <si>
    <t>Consists of canister with included 6x14 mesh granular anhydrous LiOH. It is needed because COA produces acid gases. Removes those gases which cannot be absorbed by activated charcoal or oxidized to CO2 and H2O. These are primarily nitrogen and sulfur compounds, halogens and metal hybrids Analyses show it could have a operation life of 12.7 y (6 y with high margin).</t>
  </si>
  <si>
    <t>The Pressure Control Panel (PCP) is consists of an O2 Isolation Valve, a N2 Isolation Valve, a Firware controller, two O2/N2 Ime pressure sensors, two O2/N2 flow restrictors, and O2/N2 discharge difiuser, 3 on ISS with 0 spares</t>
  </si>
  <si>
    <t>30.8 % CH4 (+H2+CO2+O2)
69.2 % H2O</t>
  </si>
  <si>
    <t>0.06 gas (1.272 O2)
0.136 liquid</t>
  </si>
  <si>
    <t>0.196 gas
(0.748 liquid)</t>
  </si>
  <si>
    <t>84.6 % H2 (-H2)
15.4 % CO2
(H2O)</t>
  </si>
  <si>
    <t>1.7 man-hours per year
31.2 scheduled + 9.3 unscheduled</t>
  </si>
  <si>
    <t>leakage to vacuum
O2 and H2O losses through venting (7.3*10^-3 kg/h air, 3.1*10^-2 kg/h water)
only 1000 hours of inflight test</t>
  </si>
  <si>
    <t>Zeolite molecular sieves, the principle adsorbents used, have a greater affinity for water than for CO2 and a desiccant (another Zeolite andlor silica gel) is used to dry the atmosphere upstream of the Zeolite. 2BMS uses two zeolite molecular sieve materials (referred to as 13X and 5A) in a layered bed arrangement to remove excess moisture and CO2 from the atmosphere. The sorbents were regenerated by venting to space, in the reverse direction so that water would not enter the CO2 removal portion of the bed (the 5A material). For such open-loop operation the molecular sieve was also used for trace contaminant removal and humidity control. Continuous operation was achieved by cycling between two "beds" so that one could be desorbed while the other was adsorbing. Technical data is for 3 people [1], per kg/day CO2 [27], crew of 6 for 400 days [34], from apollo applications program [44]</t>
  </si>
  <si>
    <t>Food containers store at ambient storage temperature. Each food locker store 18 meals and have empty mass of 0.9 kg.</t>
  </si>
  <si>
    <t xml:space="preserve">99.9
</t>
  </si>
  <si>
    <t>0.38
40
2042000
1021000
920
12</t>
  </si>
  <si>
    <t>0.38
40
2042000
1021000
920
0</t>
  </si>
  <si>
    <t>3.6 - 6.5
5</t>
  </si>
  <si>
    <t>4.37 CMh/y
0.08 CMh/y</t>
  </si>
  <si>
    <t xml:space="preserve">
103.5</t>
  </si>
  <si>
    <t>87.6
103.5
87.6
103.3</t>
  </si>
  <si>
    <t xml:space="preserve">
68.9 - 104.8</t>
  </si>
  <si>
    <t>operating temperatures [K]</t>
  </si>
  <si>
    <t>operating pressures [kPa]</t>
  </si>
  <si>
    <t>life limit of 2.38 years</t>
  </si>
  <si>
    <t>Subsystem</t>
  </si>
  <si>
    <t>Level</t>
  </si>
  <si>
    <t>TRL
Literature</t>
  </si>
  <si>
    <t>Maintance</t>
  </si>
  <si>
    <t>Advantages</t>
  </si>
  <si>
    <t>Disadvantages</t>
  </si>
  <si>
    <t>Prospective improvements</t>
  </si>
  <si>
    <t>Uses</t>
  </si>
  <si>
    <t>life limit of 0.25 years!</t>
  </si>
  <si>
    <t xml:space="preserve">61845
</t>
  </si>
  <si>
    <t xml:space="preserve">27156
</t>
  </si>
  <si>
    <t xml:space="preserve">296701
</t>
  </si>
  <si>
    <t xml:space="preserve">
no scheduled maintance
27.6 h/y
2.7 h/y
2.97 h/y
2.72 h/y</t>
  </si>
  <si>
    <t>0.9343
1.0</t>
  </si>
  <si>
    <t>0.002836
0.0031</t>
  </si>
  <si>
    <t>22.68
11.25</t>
  </si>
  <si>
    <t>urine processing</t>
  </si>
  <si>
    <t>Requires N2 purge periodically [45] assumes 35min/wk and additional time for N2 purge (assume 20min/month) [51] says 11.534 h/y</t>
  </si>
  <si>
    <t>remove of cartige all few hours 8 min for changeout estimated</t>
  </si>
  <si>
    <t>8 hr per cartridge and 14 recharge time in oven 4 min per cartridge changeout:
2*4min/14h*14oven = 3.2 h/day</t>
  </si>
  <si>
    <r>
      <t>Flushing my be required occasionally
mean for WRM</t>
    </r>
    <r>
      <rPr>
        <b/>
        <sz val="11"/>
        <color theme="1"/>
        <rFont val="Calibri"/>
        <family val="2"/>
        <scheme val="minor"/>
      </rPr>
      <t xml:space="preserve">
</t>
    </r>
    <r>
      <rPr>
        <sz val="11"/>
        <color theme="1"/>
        <rFont val="Calibri"/>
        <family val="2"/>
        <scheme val="minor"/>
      </rPr>
      <t>56h for 500 days</t>
    </r>
  </si>
  <si>
    <r>
      <t>peristaltic fluid pump is limiting factor
worst for WRM</t>
    </r>
    <r>
      <rPr>
        <b/>
        <sz val="11"/>
        <color theme="1"/>
        <rFont val="Calibri"/>
        <family val="2"/>
        <scheme val="minor"/>
      </rPr>
      <t xml:space="preserve">
</t>
    </r>
    <r>
      <rPr>
        <sz val="11"/>
        <color theme="1"/>
        <rFont val="Calibri"/>
        <family val="2"/>
        <scheme val="minor"/>
      </rPr>
      <t>13.1 for 500 days</t>
    </r>
  </si>
  <si>
    <t>Date:</t>
  </si>
  <si>
    <t>(not required)</t>
  </si>
  <si>
    <t>Packaging replacment every 20 days</t>
  </si>
  <si>
    <t>Storage at ambient temperature with optimum pressure-to-volume ratio at a pressure of a few million Pa. (20.7 MPa)</t>
  </si>
  <si>
    <t>Lower specific weight and volume compared to hight pressure. Provides a low-temperature heat sink available for thermal integration with other subsystems. Approaches like supercritical storage with thermal pressurization, compresed liquid storage, and two-phase storage with thermal pressurization available.</t>
  </si>
  <si>
    <t>Binding of CO2 on molecules when in reduced form and releasing CO2 in oxidized form. Compounds that have been investigated include quinone and other ring compounds having an oxygen or nitrogen atom as a binding site and a redox active site. The concept is promising but there are fundamental problems such as sensitivity to 02 present in the atmosphere. Can maybe used to develop membranes that selectively pump CO2.</t>
  </si>
  <si>
    <t>Low-temperature coolant for the ITCS is supplied form the USOS at 0.6 to 5.6 °C and returned to the USOS at 3.3 to 21 °C at a pressure of 124 to 689 kPa and at a flowrate of 0 to 0.063 kg/s. Maximum heat load exchanged between Node2 and APM is +- 200W for sensible heat with no latent heat transfer.</t>
  </si>
  <si>
    <t>First data for shuttle, consisting of Breathing Regulator (0.1 kg) and Oxygen system [11], second for ISS for all [9]</t>
  </si>
  <si>
    <t>MCA Rank</t>
  </si>
  <si>
    <t>ESM Rank</t>
  </si>
  <si>
    <t>Mean</t>
  </si>
  <si>
    <t>ECLSS System Function (required)</t>
  </si>
  <si>
    <t>469
530.52
468</t>
  </si>
  <si>
    <t>Heat removal and fire detection/-suppresion of avionics/equipment. 6 to 19 on ISS. Second data is for crew of 6 on mars transit vehicle [14], for WPA on ISS (should be for crew of 4) [56]</t>
  </si>
  <si>
    <t>Fire Detection Assembly</t>
  </si>
  <si>
    <t>Used on ISS (16)</t>
  </si>
  <si>
    <t>Fire Extinguisher</t>
  </si>
  <si>
    <t>Used on ISS (7)</t>
  </si>
  <si>
    <t>Amount of Modules:</t>
  </si>
  <si>
    <t>2.21*10^4 - 2.53*10^4 nominal
2.21*10^4</t>
  </si>
  <si>
    <t>Pressure is applied to the waste water, forcing water across a semipermeable membrane. Current membranes are incaple of removing small organics. Result is a large volume of relativly pure permeate and a small volume of very concentrated fluid, which must be processed by a VCD or stored. Current membranes require pretreatment of UF and posttreatment of MF. Ideally, the system operate above the waste pasteurization T of 347K to prevent microbial growth. Two types of membranes are aplicable. A hollow fiber membrane consist of a porous polysulfone base with a proprietary solute rejecting thin skin deposited in the fiber interiour. This configuration has a hight membrane surface area-to-volume ratio which increases module compactness. Waste water is fed to the interiour to minimize fouling or the collection of contaminants on the membrane surface. The other type is a dual layer membrane which is made from a mixture of zirconium oxide and polyacrylic acid deposited on the interior of a porous metal or ceramic tube. It has a hight water flux or throughput (1.9*10^-5 m/s vs. 1.1*10^-5 m/s for the hollow fiber membrane at 2.8*10^6 Pa) and is stable at pasteurization T. Specific Engery for both membranes is about 10 Wh/kg water recoverd. Technical data is for support of 4 people, second for 500 days 9 men [51]</t>
  </si>
  <si>
    <t>Non-graphical Data Output Sheet</t>
  </si>
  <si>
    <t>ECLSS Composition ESM</t>
  </si>
  <si>
    <t>CO2 Removal System:</t>
  </si>
  <si>
    <t>CO2 Reduction System:</t>
  </si>
  <si>
    <t>WW Filtration System:</t>
  </si>
  <si>
    <t>Urine Processing System:</t>
  </si>
  <si>
    <t>Electrolysis System:</t>
  </si>
  <si>
    <t>Metabolic Considerations</t>
  </si>
  <si>
    <t>Metabolic factors can be adjusted in the "Schedule and Metabolic" Worksheet</t>
  </si>
  <si>
    <t>Max. allowable ppCO2 [kPa]</t>
  </si>
  <si>
    <t>Atmospheric Requirements</t>
  </si>
  <si>
    <t>Value</t>
  </si>
  <si>
    <t>Food</t>
  </si>
  <si>
    <t>Average Power [W]:</t>
  </si>
  <si>
    <t>Min. allowable ppO2 [kPa]</t>
  </si>
  <si>
    <t>Controls gaseous contaminants. 4 installed on ISS</t>
  </si>
  <si>
    <t>4.36
0.2</t>
  </si>
  <si>
    <t>0.54
0.54</t>
  </si>
  <si>
    <t>2.13
5.4</t>
  </si>
  <si>
    <t>CO2 Reduction Assembly</t>
  </si>
  <si>
    <t>Assembly for either Bosch or Sabatier Reactor (without Bosch or Sabatier Reactor Mass)</t>
  </si>
  <si>
    <t>Assembly for either CAMRAS,  4BMS, SAWD or EDC</t>
  </si>
  <si>
    <t>CO2 Removal Assembly</t>
  </si>
  <si>
    <t>Electrochemical CO2 concentrators are essentially modified fuel cells that operate in the reverse direction electrochemically. H2 and O2 reacts with CO2 inside a electrochemical cell. On the anode-side high concentration CO2 with some H2 streams out, while on cathode-side air with low concentration CO2 flows out. Works similar to a H2O2 fuel cell, which means it generates power (DC). 25 % of the heat generated by reaction is removed by out-streams, remaining needs separate liquid cooling stream. Technical data is for 4 people [1], and per kg-day CO2 removal [27], unknown [13], crew of 6 for 400 days [34], for Crew of 4 for ISS [46], for crew of 9 [51], crew of 6 [51]</t>
  </si>
  <si>
    <t>peak power of 7.64 W</t>
  </si>
  <si>
    <t>87.9
195.3793
182
179.14
90
30
255
195+156
30
193
242.67
173.3</t>
  </si>
  <si>
    <t>Valve (selector)</t>
  </si>
  <si>
    <t>Pump Fan Controller</t>
  </si>
  <si>
    <t>Waste</t>
  </si>
  <si>
    <t>A. of ORUs</t>
  </si>
  <si>
    <t>Electrolysis</t>
  </si>
  <si>
    <t>Sum</t>
  </si>
  <si>
    <t>Mission 1</t>
  </si>
  <si>
    <t>Total amount_x000D_
[kg]</t>
  </si>
  <si>
    <t>Number of_x000D_
Missions:</t>
  </si>
  <si>
    <t>Add. Flight 2</t>
  </si>
  <si>
    <t>Add. Flight 3</t>
  </si>
  <si>
    <t>Add. Flight 4</t>
  </si>
  <si>
    <t>Add. Flight 5</t>
  </si>
  <si>
    <t>Add. Flight 6</t>
  </si>
  <si>
    <t>Add. Flight 7</t>
  </si>
  <si>
    <t>Add. Flight 8</t>
  </si>
  <si>
    <t>Add. Flight 9</t>
  </si>
  <si>
    <t>Add. Flight 10</t>
  </si>
  <si>
    <t>Mission 2</t>
  </si>
  <si>
    <t>No</t>
  </si>
  <si>
    <t>WW filt</t>
  </si>
  <si>
    <t>Urine Proc.</t>
  </si>
  <si>
    <t>Add. Flight 1</t>
  </si>
  <si>
    <t>[kg/d]</t>
  </si>
  <si>
    <t>Allow Cell Check</t>
  </si>
  <si>
    <t>Tasks left</t>
  </si>
  <si>
    <t>Work</t>
  </si>
  <si>
    <t>Generated data is stored here to be used further in the following sheets:</t>
  </si>
  <si>
    <t>Schedule and Metabolic, Graphical Output and Resupply Approach</t>
  </si>
  <si>
    <t>Work/Planning</t>
  </si>
  <si>
    <t>Work [h]</t>
  </si>
  <si>
    <t>Exercise [h]</t>
  </si>
  <si>
    <t>Planning/Prep. [h]</t>
  </si>
  <si>
    <t>Recreation [h]</t>
  </si>
  <si>
    <t>Homekeeping [h]</t>
  </si>
  <si>
    <t>Descriptions of all currently available functions can be found here</t>
  </si>
  <si>
    <t>Initial Consumables</t>
  </si>
  <si>
    <r>
      <t xml:space="preserve">Vapor Phase Catalytic Ammonia Removal </t>
    </r>
    <r>
      <rPr>
        <b/>
        <sz val="11"/>
        <color theme="1"/>
        <rFont val="Calibri"/>
        <family val="2"/>
        <scheme val="minor"/>
      </rPr>
      <t>VPCAR</t>
    </r>
  </si>
  <si>
    <t>Vapor phase catalytic ammonia removal VPCAR + Lyophilization</t>
  </si>
  <si>
    <t>[%]</t>
  </si>
  <si>
    <t>[kg/CM*h]</t>
  </si>
  <si>
    <t>Mass</t>
  </si>
  <si>
    <t>Volume</t>
  </si>
  <si>
    <t>Power</t>
  </si>
  <si>
    <t>Cooling</t>
  </si>
  <si>
    <t>Maintenance</t>
  </si>
  <si>
    <r>
      <t>N</t>
    </r>
    <r>
      <rPr>
        <b/>
        <vertAlign val="subscript"/>
        <sz val="11"/>
        <color theme="0"/>
        <rFont val="Calibri"/>
        <family val="2"/>
        <scheme val="minor"/>
      </rPr>
      <t>2</t>
    </r>
    <r>
      <rPr>
        <b/>
        <sz val="11"/>
        <color theme="0"/>
        <rFont val="Calibri"/>
        <family val="2"/>
        <scheme val="minor"/>
      </rPr>
      <t xml:space="preserve"> Supply</t>
    </r>
  </si>
  <si>
    <r>
      <t>H</t>
    </r>
    <r>
      <rPr>
        <b/>
        <vertAlign val="subscript"/>
        <sz val="11"/>
        <color theme="0"/>
        <rFont val="Calibri"/>
        <family val="2"/>
        <scheme val="minor"/>
      </rPr>
      <t>2</t>
    </r>
    <r>
      <rPr>
        <b/>
        <sz val="11"/>
        <color theme="0"/>
        <rFont val="Calibri"/>
        <family val="2"/>
        <scheme val="minor"/>
      </rPr>
      <t>O Supply</t>
    </r>
  </si>
  <si>
    <t>Location Factor:</t>
  </si>
  <si>
    <t>Mission Duration [d]</t>
  </si>
  <si>
    <t>Total ESM</t>
  </si>
  <si>
    <t>Algal Reactor that can be used for urine processing. Nitrate and phosphate provided by crew urine. Urine must be diluted for which wastewater is used in a ratio of 1:3. Data is for crew of six.</t>
  </si>
  <si>
    <t>Algal Reactor that can be used for CO2 removal and O2 generation. For CO2 removal authors advise to use nitrates and phosphates as consumables. Data is for crew of six.</t>
  </si>
  <si>
    <t>[1 to 5]</t>
  </si>
  <si>
    <t>82.6
3.1</t>
  </si>
  <si>
    <t>4.72
30</t>
  </si>
  <si>
    <t>Add Crew by default</t>
  </si>
  <si>
    <t>Flight 1</t>
  </si>
  <si>
    <t>Test</t>
  </si>
  <si>
    <t>Flight 2</t>
  </si>
  <si>
    <t>313
192.5
313
177kJ/mole_CO2</t>
  </si>
  <si>
    <t>Water Tank</t>
  </si>
  <si>
    <t>CAMRAS</t>
  </si>
  <si>
    <t>LiOH</t>
  </si>
  <si>
    <t>HPS</t>
  </si>
  <si>
    <t>Habitable volume workshop resulst</t>
  </si>
  <si>
    <t>McDonnell Douglas</t>
  </si>
  <si>
    <t xml:space="preserve">Parametric study of manned life support systems. Volume 2 - </t>
  </si>
  <si>
    <t>NASA</t>
  </si>
  <si>
    <t>upgrades to ISS water system</t>
  </si>
  <si>
    <t>International Space Station Water Balance Operations</t>
  </si>
  <si>
    <t>Peter Plötner</t>
  </si>
  <si>
    <t>Modeling of the ISS in V-HAB and Correlation with Flight and Ground Tests Data</t>
  </si>
  <si>
    <t>International Space Station Crew Quarters Ventilation and Acoustic Design Implementation</t>
  </si>
  <si>
    <t>Integrated Test and Evaluation of a 4-Bed Molecular Sieve (4BMS) Carbon Dioxide Removal System (CDRA), Mechanical Compressor Engineering Development Unit (EDU), and Sabatier Engineering Development Unit (EDU)</t>
  </si>
  <si>
    <t>AIRBUS</t>
  </si>
  <si>
    <t>Development Status of the Advanced Closed Loop System ACLS</t>
  </si>
  <si>
    <t>Carbon Dioxide Reprocessing Subsystem for Loop Closure as part of the Regenerative Life Support System ACLS</t>
  </si>
  <si>
    <t>ESA</t>
  </si>
  <si>
    <t>data from email of Johannes Witt</t>
  </si>
  <si>
    <t>Jacobs, Honeywell</t>
  </si>
  <si>
    <t>Cascade Distillation Subsystem Development: Early Results From the Exploration Life Support Distillation Technology Comparison Test</t>
  </si>
  <si>
    <t>Cost analyis of CO2 concentrators</t>
  </si>
  <si>
    <t>Life Systems Inc</t>
  </si>
  <si>
    <t>STATIC FEED WATER ELECTROLYSIS MODULE</t>
  </si>
  <si>
    <t>Cost analyis of O2 recovery systems</t>
  </si>
  <si>
    <t>UAC/NASA</t>
  </si>
  <si>
    <t>Trade-off study and conceptual designs of regenerative advanced integrated life support systems (AILSS)</t>
  </si>
  <si>
    <t>JSC/NASA</t>
  </si>
  <si>
    <t>Amine Swingbed Payload Testing on ISS</t>
  </si>
  <si>
    <t>ISS, Uni Stuttgart</t>
  </si>
  <si>
    <t>Efficient Evaluation Method of System Concepts for Preliminary ECLSS Design Studies</t>
  </si>
  <si>
    <t>Developing the Water Supply System for Travel to Mars</t>
  </si>
  <si>
    <t>Space Shuttle News Reference Manual (website)</t>
  </si>
  <si>
    <t>LOW pCO2 AIR-POLARIZED CO2 CONCENTRATOR DEVELOPMENT</t>
  </si>
  <si>
    <t>TUM</t>
  </si>
  <si>
    <t>Implementation of short term life support</t>
  </si>
  <si>
    <t>Carbon Dioxide Removal Technologies for Space Vehicles - Past, Present, and Future</t>
  </si>
  <si>
    <t xml:space="preserve">Tokyo Jogakkan College
</t>
  </si>
  <si>
    <t>Parametric Analysis of Logistics and Life Support Systems for Deep Space Mission Design</t>
  </si>
  <si>
    <t>Humans to Mars Will Cost About “Half a Trillion Dollars” and Life Support Roughly Two Billion Dollars</t>
  </si>
  <si>
    <t>Northrop Grumman</t>
  </si>
  <si>
    <t>Testing the Celanto Curve</t>
  </si>
  <si>
    <t>Anthropometric survey of the astronaut applicants and astronauts from 1985 to 1991</t>
  </si>
  <si>
    <t>State university</t>
  </si>
  <si>
    <t>Top Level modeling of crew component of ALSSS</t>
  </si>
  <si>
    <t>Minimum Acceptable Net Habitable Volume for Long-Duration Exploration Mission</t>
  </si>
  <si>
    <t>A Design Basis for Spacecraft Cabin Trace Contaminant Control</t>
  </si>
  <si>
    <t>Guiding Requirements for Designing LSS Architectures for crewed expl missin BLWO</t>
  </si>
  <si>
    <t>Lockheed Martin</t>
  </si>
  <si>
    <t>ALS MODELING AND ANALYSIS PROJECT; MARS MISSIONS SOLID WASTE MODEL</t>
  </si>
  <si>
    <t>Advanced Life Support Technologies List</t>
  </si>
  <si>
    <t>Boeing</t>
  </si>
  <si>
    <t>D684-10508-04-02 ECLS Architecture Description Document Vol 4 Book 2</t>
  </si>
  <si>
    <t>ISS THC Verification of Node1</t>
  </si>
  <si>
    <t>MORD (ISS Medical Opereations Requirements Document,SSP 50260)</t>
  </si>
  <si>
    <t>SMAC</t>
  </si>
  <si>
    <t>CTD</t>
  </si>
  <si>
    <t>Type V tank</t>
  </si>
  <si>
    <t>&lt;2008</t>
  </si>
  <si>
    <t>CEA-Air Liquide</t>
  </si>
  <si>
    <t>700 bar HYDROGEN STORAGE 700 bar HYDROGEN STORAGE poster</t>
  </si>
  <si>
    <t>SSL</t>
  </si>
  <si>
    <t>Space Human Factors and Life Support Course - air revitalization</t>
  </si>
  <si>
    <t>Designing for human presence in space</t>
  </si>
  <si>
    <t>Advancments of O2 generation and humidity control by WVE</t>
  </si>
  <si>
    <t xml:space="preserve">NASA Environmental Control and Life Support Technology Development and Maturation for Exploration: 2015 to 2016 </t>
  </si>
  <si>
    <t>Living together in space: the design and operation of the life support systems on the iss</t>
  </si>
  <si>
    <t>An ISS bacterial filter element service life evaluation</t>
  </si>
  <si>
    <t>2008?</t>
  </si>
  <si>
    <t>An assessment of ISSs trace contaminant control subassembly for economics</t>
  </si>
  <si>
    <t>HAMILTON STANDARD</t>
  </si>
  <si>
    <t>LIGHTSIDE ATMOSPHERIC REVITALIZATION SYSTEM</t>
  </si>
  <si>
    <t>2010?</t>
  </si>
  <si>
    <t>INL, NASA</t>
  </si>
  <si>
    <t>The Concept and Analytical Investigation of CO2 and Steam Co-Electrolysis for Resource Utilization in Space Exploration</t>
  </si>
  <si>
    <t>NASA technology roadmaps - TA 7</t>
  </si>
  <si>
    <t>NASA-STD-3000, Man-Systems integration standarts (MSIS)</t>
  </si>
  <si>
    <t>2014?</t>
  </si>
  <si>
    <t>The challenges of developing a food system for a mars mission (presentation)</t>
  </si>
  <si>
    <t>NASA technology roadmaps - TA 6</t>
  </si>
  <si>
    <t>Hanford</t>
  </si>
  <si>
    <t>ALS RD Metric</t>
  </si>
  <si>
    <t>Gisela dentrell</t>
  </si>
  <si>
    <t>Analysis and simulation of a syneric environmental control and ...</t>
  </si>
  <si>
    <t>Bickel T.</t>
  </si>
  <si>
    <t>Development of a Dynamic physico chemical...</t>
  </si>
  <si>
    <t>Advanced life support baseline values and assumptions document</t>
  </si>
  <si>
    <t>Life support baseline values and assumptions document</t>
  </si>
  <si>
    <t>larson; pranke</t>
  </si>
  <si>
    <t>Human spaceflight</t>
  </si>
  <si>
    <t>this analysis includes water recovery, urine recovery, oxygen generation, carbon dioxide reduction through a Sabatier process, and laundry for washing clothes. Recovery of water from urine is assumed at 85% whereas all other water sources are recovered at 100%. Brine recovery, solid waste dewatering, and Bosch reaction are not included in these estimates.</t>
  </si>
  <si>
    <t>Mars design reference architecture 5.0 Addendum #2</t>
  </si>
  <si>
    <t>https://www.nasa.gov/mission_pages/station/research/experiments/1205.html</t>
  </si>
  <si>
    <t>https://www.nasa.gov/mission_pages/station/research/experiments/29.html</t>
  </si>
  <si>
    <t>https://www.nasa.gov/mission_pages/station/research/experiments/58.html</t>
  </si>
  <si>
    <t>https://www.nasa.gov/mission_pages/station/research/experiments/351.html</t>
  </si>
  <si>
    <t>peter eckart</t>
  </si>
  <si>
    <t>the lunar base handbook</t>
  </si>
  <si>
    <t>Nitta, Keiji</t>
  </si>
  <si>
    <t>Material flow estimation in CELSS</t>
  </si>
  <si>
    <t>spaceflight life support &amp; biospherics</t>
  </si>
  <si>
    <t>system</t>
  </si>
  <si>
    <t>year/version</t>
  </si>
  <si>
    <t>author</t>
  </si>
  <si>
    <t>title</t>
  </si>
  <si>
    <t>number</t>
  </si>
  <si>
    <t>International Space Station Environmental Control and Life Support System Mass and Crewtime Utilization In Comparison to a Long Duration Human Space Exploration Mission</t>
  </si>
  <si>
    <t>Robert Bagdigian et.al. (NASA)</t>
  </si>
  <si>
    <t>1385-455</t>
  </si>
  <si>
    <t>Status of the Regenerative ECLSS Water Recovery System</t>
  </si>
  <si>
    <t>Performance Qualification Test of the ISS Water Processor Assembly (WPA) Expendable</t>
  </si>
  <si>
    <t>Layne Carter (NASA)</t>
  </si>
  <si>
    <t xml:space="preserve">315(operating)
56 (standby)
211.4 (averaged)
</t>
  </si>
  <si>
    <t>428 (operating)
241 (standby)
275.1 (averaged)</t>
  </si>
  <si>
    <t>Status of ISS Water Management and Recovery</t>
  </si>
  <si>
    <t>Would Current International Space Station (ISS) Recycling Life Support Systems Save Mass on a Mars Transit?</t>
  </si>
  <si>
    <t>Harry Jones (NASA)</t>
  </si>
  <si>
    <r>
      <t xml:space="preserve">Urine processing assembly </t>
    </r>
    <r>
      <rPr>
        <b/>
        <sz val="11"/>
        <color theme="1"/>
        <rFont val="Calibri"/>
        <family val="2"/>
        <scheme val="minor"/>
      </rPr>
      <t>UPA</t>
    </r>
    <r>
      <rPr>
        <sz val="11"/>
        <color theme="1"/>
        <rFont val="Calibri"/>
        <family val="2"/>
        <scheme val="minor"/>
      </rPr>
      <t xml:space="preserve"> (uses Vapor Compression Distillation </t>
    </r>
    <r>
      <rPr>
        <b/>
        <sz val="11"/>
        <color theme="1"/>
        <rFont val="Calibri"/>
        <family val="2"/>
        <scheme val="minor"/>
      </rPr>
      <t>VCD</t>
    </r>
    <r>
      <rPr>
        <sz val="11"/>
        <color theme="1"/>
        <rFont val="Calibri"/>
        <family val="2"/>
        <scheme val="minor"/>
      </rPr>
      <t>)</t>
    </r>
  </si>
  <si>
    <t>Thermoelectric Integrated Membrane Evaporation TIMES</t>
  </si>
  <si>
    <t>Water processing assembly WPA</t>
  </si>
  <si>
    <t>Vapor Phase Catalytic Ammonia Removal VPCAR</t>
  </si>
  <si>
    <t>Reliability without Spares</t>
  </si>
  <si>
    <r>
      <t>[m</t>
    </r>
    <r>
      <rPr>
        <b/>
        <vertAlign val="superscript"/>
        <sz val="11"/>
        <color theme="0"/>
        <rFont val="Calibri"/>
        <family val="2"/>
        <scheme val="minor"/>
      </rPr>
      <t>3</t>
    </r>
    <r>
      <rPr>
        <b/>
        <sz val="11"/>
        <color theme="0"/>
        <rFont val="Calibri"/>
        <family val="2"/>
        <scheme val="minor"/>
      </rPr>
      <t>]</t>
    </r>
  </si>
  <si>
    <t>ESM Without Crew Time</t>
  </si>
  <si>
    <t>[-]</t>
  </si>
  <si>
    <t>Resupply Mass</t>
  </si>
  <si>
    <t>BVAD Values:</t>
  </si>
  <si>
    <t>Pre Exercise</t>
  </si>
  <si>
    <t>Unit</t>
  </si>
  <si>
    <t>O2 Consumption</t>
  </si>
  <si>
    <t>CO2 Production</t>
  </si>
  <si>
    <t>Feces Production</t>
  </si>
  <si>
    <t>Urine Water Production</t>
  </si>
  <si>
    <t>Potable Water Consumption</t>
  </si>
  <si>
    <t>Food Consumption</t>
  </si>
  <si>
    <t>Sweat/Water Vapor Production</t>
  </si>
  <si>
    <t>[kJ/CM*h]</t>
  </si>
  <si>
    <t>Metabolic Water</t>
  </si>
  <si>
    <t xml:space="preserve">Urine Solid Waste Production </t>
  </si>
  <si>
    <t>Feces Solid Waste Production</t>
  </si>
  <si>
    <t xml:space="preserve">Hygiene Solid Waste Production </t>
  </si>
  <si>
    <t>Sweat/Water Vapor Solid Wastes Production</t>
  </si>
  <si>
    <t>Water Content in Food</t>
  </si>
  <si>
    <t>Hygiene Water Consumption</t>
  </si>
  <si>
    <t>Heat Load</t>
  </si>
  <si>
    <t>Water Balance</t>
  </si>
  <si>
    <t># of Crew</t>
  </si>
  <si>
    <t>Schedule 1</t>
  </si>
  <si>
    <t>Schedule 2</t>
  </si>
  <si>
    <t>Hygiene</t>
  </si>
  <si>
    <t>Schedule 3</t>
  </si>
  <si>
    <t>Schedule 4</t>
  </si>
  <si>
    <t>Schedule 5</t>
  </si>
  <si>
    <t>Schedule 6</t>
  </si>
  <si>
    <t>Schedule 7</t>
  </si>
  <si>
    <t>Water Balance User Schedule</t>
  </si>
  <si>
    <t>Metabolic Values up to date</t>
  </si>
  <si>
    <t>Schedule was Checked</t>
  </si>
  <si>
    <t>Mass
Literature</t>
  </si>
  <si>
    <t>[kg/CM]</t>
  </si>
  <si>
    <t>Mass Confidence Factor</t>
  </si>
  <si>
    <t>Volume
Literature</t>
  </si>
  <si>
    <r>
      <t>[m</t>
    </r>
    <r>
      <rPr>
        <vertAlign val="superscript"/>
        <sz val="11"/>
        <color theme="0"/>
        <rFont val="Calibri"/>
        <family val="2"/>
        <scheme val="minor"/>
      </rPr>
      <t>3</t>
    </r>
    <r>
      <rPr>
        <sz val="11"/>
        <color theme="0"/>
        <rFont val="Calibri"/>
        <family val="2"/>
        <scheme val="minor"/>
      </rPr>
      <t>]</t>
    </r>
  </si>
  <si>
    <r>
      <t>[m</t>
    </r>
    <r>
      <rPr>
        <vertAlign val="superscript"/>
        <sz val="11"/>
        <color theme="0"/>
        <rFont val="Calibri"/>
        <family val="2"/>
        <scheme val="minor"/>
      </rPr>
      <t>3</t>
    </r>
    <r>
      <rPr>
        <sz val="11"/>
        <color theme="0"/>
        <rFont val="Calibri"/>
        <family val="2"/>
        <scheme val="minor"/>
      </rPr>
      <t>/CM]</t>
    </r>
  </si>
  <si>
    <t>Volume Confidence Factor</t>
  </si>
  <si>
    <t>Heat Generated
Literature</t>
  </si>
  <si>
    <t>{W/CM]</t>
  </si>
  <si>
    <t>Heat Confidence Factor</t>
  </si>
  <si>
    <t>Power required
Literature</t>
  </si>
  <si>
    <t>Power Confidence Factor</t>
  </si>
  <si>
    <t>Mass of 1 ORU</t>
  </si>
  <si>
    <t>Efficiency</t>
  </si>
  <si>
    <t>[kg/(d CM)]</t>
  </si>
  <si>
    <t>[W/CM]</t>
  </si>
  <si>
    <t>Heat</t>
  </si>
  <si>
    <t>MTBF</t>
  </si>
  <si>
    <t>MTBF Confidence Factor</t>
  </si>
  <si>
    <t>[h/year]</t>
  </si>
  <si>
    <t xml:space="preserve"> [h/(year CM)]</t>
  </si>
  <si>
    <t>fix Maintenance</t>
  </si>
  <si>
    <t>Maintenance per CM</t>
  </si>
  <si>
    <t>Spare Parts</t>
  </si>
  <si>
    <t>ESM Without Spares</t>
  </si>
  <si>
    <t>Volume for Spares/ORU</t>
  </si>
  <si>
    <t>Mass for Spares/ORU</t>
  </si>
  <si>
    <t>ESM w/o CT Rank</t>
  </si>
  <si>
    <t>TRL Confidence Factor</t>
  </si>
  <si>
    <t>Maintenance Confidence Factor</t>
  </si>
  <si>
    <t>Criticality</t>
  </si>
  <si>
    <t>MCA</t>
  </si>
  <si>
    <t>Process Wastewater d)</t>
  </si>
  <si>
    <t>It is permissible to process wastewater from concentrated brine to recover potable or hygiene water and produce a concentrated waste.</t>
  </si>
  <si>
    <t>Electrolyse Water</t>
  </si>
  <si>
    <t>It is permissible to electrolyze water to create oxygen and hydrogen</t>
  </si>
  <si>
    <t>Abbreviation</t>
  </si>
  <si>
    <t>ACRS</t>
  </si>
  <si>
    <t>AAA</t>
  </si>
  <si>
    <t>BFE</t>
  </si>
  <si>
    <t>COA</t>
  </si>
  <si>
    <t>EDI</t>
  </si>
  <si>
    <t>METOX</t>
  </si>
  <si>
    <t>2BMS</t>
  </si>
  <si>
    <t>4BMS/CDRA</t>
  </si>
  <si>
    <t>NIA</t>
  </si>
  <si>
    <t>RBP</t>
  </si>
  <si>
    <t>RO</t>
  </si>
  <si>
    <t>SR/SCRA</t>
  </si>
  <si>
    <t>SAC</t>
  </si>
  <si>
    <r>
      <t xml:space="preserve">Solid polymer water electrolysis </t>
    </r>
    <r>
      <rPr>
        <b/>
        <sz val="11"/>
        <color theme="1"/>
        <rFont val="Calibri"/>
        <family val="2"/>
        <scheme val="minor"/>
      </rPr>
      <t xml:space="preserve">SPWE </t>
    </r>
    <r>
      <rPr>
        <sz val="11"/>
        <color theme="1"/>
        <rFont val="Calibri"/>
        <family val="2"/>
        <scheme val="minor"/>
      </rPr>
      <t xml:space="preserve">or Oxygen generation assembly </t>
    </r>
    <r>
      <rPr>
        <b/>
        <sz val="11"/>
        <color theme="1"/>
        <rFont val="Calibri"/>
        <family val="2"/>
        <scheme val="minor"/>
      </rPr>
      <t>OGA</t>
    </r>
  </si>
  <si>
    <t>SPWE/OGA</t>
  </si>
  <si>
    <t>SCWO</t>
  </si>
  <si>
    <t>UF</t>
  </si>
  <si>
    <t>UPA/VCD</t>
  </si>
  <si>
    <t>WPA/MF</t>
  </si>
  <si>
    <t>VRV</t>
  </si>
  <si>
    <t>WVE</t>
  </si>
  <si>
    <t>SEOS</t>
  </si>
  <si>
    <t>HPE</t>
  </si>
  <si>
    <t>SAVD</t>
  </si>
  <si>
    <t>APC</t>
  </si>
  <si>
    <t>PATD</t>
  </si>
  <si>
    <t>CDS</t>
  </si>
  <si>
    <t>BRIC</t>
  </si>
  <si>
    <t>IWP</t>
  </si>
  <si>
    <t>HMC</t>
  </si>
  <si>
    <t>CCA</t>
  </si>
  <si>
    <t>CS</t>
  </si>
  <si>
    <t>BPA</t>
  </si>
  <si>
    <t>Selection of a Brine Processor Technology for NASA Manned Missions</t>
  </si>
  <si>
    <t>Donald L. Carter (NASA)</t>
  </si>
  <si>
    <t>Closing the Water Loop for Exploration: 2018 Status of the Brine Processor Assembly</t>
  </si>
  <si>
    <t>Laura K. Kelsey1, Patrick Pasadilla2, Thomas Cognata</t>
  </si>
  <si>
    <r>
      <t xml:space="preserve">Brine Processing Assembly </t>
    </r>
    <r>
      <rPr>
        <b/>
        <sz val="11"/>
        <color theme="1"/>
        <rFont val="Calibri"/>
        <family val="2"/>
        <scheme val="minor"/>
      </rPr>
      <t>BPA</t>
    </r>
    <r>
      <rPr>
        <sz val="11"/>
        <color theme="1"/>
        <rFont val="Calibri"/>
        <family val="2"/>
        <scheme val="minor"/>
      </rPr>
      <t xml:space="preserve"> or Ionomer Water Processor (IWP)</t>
    </r>
  </si>
  <si>
    <t>Brine is put into semipermeable membranes and the remaining water in the brine is evaporated into the cabin. Recovery Rate of 22.5l over 26 days [72] and recovers ~80% of the water remaining in the brine [72]. Hardware resupply is less than 25% of the recovered mass [72]. BPA is also called IWP and has a mass of 53 kg with 0.15 m^3 volumne and 142 W power consumption at 1.3 L/day production. Assumin UPA each human produces about 0.24 L/day of brine, so that is used for scaling</t>
  </si>
  <si>
    <t>VPCAR + Lyo</t>
  </si>
  <si>
    <t>Food Packaging</t>
  </si>
  <si>
    <t>Grey Water</t>
  </si>
  <si>
    <t>Air</t>
  </si>
  <si>
    <t>Legend:</t>
  </si>
  <si>
    <t>misc.</t>
  </si>
  <si>
    <t>[All numbers are kg/(day*Human)]</t>
  </si>
  <si>
    <t>Edible Plants</t>
  </si>
  <si>
    <t>Nutr.</t>
  </si>
  <si>
    <t>PBR</t>
  </si>
  <si>
    <t>Algal Reactor or Photo Bio Reactor (PBR)</t>
  </si>
  <si>
    <t>Plant Growth Chamber (PGC) of the size of one Veggie Unit</t>
  </si>
  <si>
    <t>Veggie</t>
  </si>
  <si>
    <t>plants</t>
  </si>
  <si>
    <t>Produce Food a)</t>
  </si>
  <si>
    <t>Produce edible biomass from plants</t>
  </si>
  <si>
    <t>Bio</t>
  </si>
  <si>
    <t>Plant Growth Chamber (PGC) of the size of one ISPR</t>
  </si>
  <si>
    <t>Influence of crop cultivation conditions on space greenhouse equivalent system mass</t>
  </si>
  <si>
    <t>Paul Zabel</t>
  </si>
  <si>
    <t>101.5 kg/m^2</t>
  </si>
  <si>
    <t>1.03/m^2</t>
  </si>
  <si>
    <t>2600 W/m²
943 W/m^2</t>
  </si>
  <si>
    <t>2600 W/m^2
943 W/m^2</t>
  </si>
  <si>
    <t>13.1 h/m^2 year</t>
  </si>
  <si>
    <t>Impacts of 'Pick-and-Eat' Plant Growth Systems on the ISS and Gateway</t>
  </si>
  <si>
    <t>Daniel Pütz, Constantin Traub, Mike Ewert, Molly Anderson</t>
  </si>
  <si>
    <t>ISPR PGC</t>
  </si>
  <si>
    <t>Plant Growth Chamber (PGC) using salad and carbohydrate crop diet from BVAD</t>
  </si>
  <si>
    <t>ELS PGC</t>
  </si>
  <si>
    <t>Part ELS PGC</t>
  </si>
  <si>
    <t>VEG-01: Veggie Hardware Validation Testing on the International Space Station</t>
  </si>
  <si>
    <t>Gioia D. Massa, Nicole F. Dufour, John A. Carver, Mary E. Hummerick, Raymond M. Wheeler, Robert C. Morrow, Trent M. Smith (NASA)</t>
  </si>
  <si>
    <t>The Veggie System used on the ISS values for Volume from [75], power 
Note Efficiency fields for plants are m^2 values for the calculation!</t>
  </si>
  <si>
    <t>not provided, uses BVAD value</t>
  </si>
  <si>
    <t>Urine</t>
  </si>
  <si>
    <t>Potable</t>
  </si>
  <si>
    <t>+</t>
  </si>
  <si>
    <t>Hygiene Water</t>
  </si>
  <si>
    <t>inedible
biomass</t>
  </si>
  <si>
    <t>kJ/(d*Human)</t>
  </si>
  <si>
    <t>Plants</t>
  </si>
  <si>
    <t>black water</t>
  </si>
  <si>
    <t>Results 1</t>
  </si>
  <si>
    <t>Results 2</t>
  </si>
  <si>
    <t>Results 3</t>
  </si>
  <si>
    <t>Results 4</t>
  </si>
  <si>
    <t>Results 5</t>
  </si>
  <si>
    <t>Results 6</t>
  </si>
  <si>
    <t>Results 7</t>
  </si>
  <si>
    <t>Results 8</t>
  </si>
  <si>
    <t>Results 9</t>
  </si>
  <si>
    <t>Results 10</t>
  </si>
  <si>
    <t>PGC</t>
  </si>
  <si>
    <t>LiCO3</t>
  </si>
  <si>
    <t>Leakage:</t>
  </si>
  <si>
    <t>High Pressure Storage for Crew</t>
  </si>
  <si>
    <t>High Pressure Storage for Decompression</t>
  </si>
  <si>
    <t>Cryogenic Storage for Crew</t>
  </si>
  <si>
    <t>Cryogenic Storage for Decompression</t>
  </si>
  <si>
    <t>Potable Water Storage</t>
  </si>
  <si>
    <t>Waste Water Storage</t>
  </si>
  <si>
    <t>Advanced Carbon-Formation Reactor System ACRS</t>
  </si>
  <si>
    <t>Air Evaporation System AES</t>
  </si>
  <si>
    <t>Avionics Air Assembly AAA</t>
  </si>
  <si>
    <t>Bacteria Filter Assembly BFE</t>
  </si>
  <si>
    <t>Bosch Reactor BR</t>
  </si>
  <si>
    <t>CO2 and Moisture Removal Amine Swing-Bed System CAMRAS</t>
  </si>
  <si>
    <t>Catalytic Oxidizer Assembly COA</t>
  </si>
  <si>
    <t>CO2 electrolysis COE</t>
  </si>
  <si>
    <t>Common Cabin Air Assembly CCAA</t>
  </si>
  <si>
    <t>Electrochemical depolarization concentration EDC</t>
  </si>
  <si>
    <t>Electrodialysis EDI</t>
  </si>
  <si>
    <t>Lithium hydroxide LiOH</t>
  </si>
  <si>
    <t>Major constituent analyser MCA</t>
  </si>
  <si>
    <t>Metal oxides METOX</t>
  </si>
  <si>
    <t>Molecular Sieves 2BMS</t>
  </si>
  <si>
    <t>Molecular sieves 4BMS or Carbon Dioxide Removal Assembly CDRA</t>
  </si>
  <si>
    <t>Multi Bed Trace Contaminant Control TCCS</t>
  </si>
  <si>
    <t>Nitrogen Interface Assembly NIA</t>
  </si>
  <si>
    <t>Pressure Control Assembly PCA</t>
  </si>
  <si>
    <t>Reactive Bed Plasma RBP</t>
  </si>
  <si>
    <t>Reverse osmosis RO</t>
  </si>
  <si>
    <t>Sabatier Reactor SR</t>
  </si>
  <si>
    <t>Solid amine water desorption SAWD</t>
  </si>
  <si>
    <t>Solid polymer water electrolysis SPWE or Oxygen generation assembly OGA</t>
  </si>
  <si>
    <t>Starved-air combustion SAC</t>
  </si>
  <si>
    <t>Static feed water electrolysis SFWE</t>
  </si>
  <si>
    <t>Super critical waste oxidation SCWO</t>
  </si>
  <si>
    <t>Ultrafiltration UF</t>
  </si>
  <si>
    <t>Brine Processing Assembly BPA or Ionomer Water Processor (IWP)</t>
  </si>
  <si>
    <t>Urine processing assembly UPA (uses Vapor Compression Distillation VCD)</t>
  </si>
  <si>
    <t>Vent and Relief Valve VRV</t>
  </si>
  <si>
    <t>Water Vapor Electrolysis WVE</t>
  </si>
  <si>
    <t>Solid Electrolyte Oxygen System SEOS</t>
  </si>
  <si>
    <t>High Pressure Electrolysis HPE</t>
  </si>
  <si>
    <t>Intermodule Ventilation IMV</t>
  </si>
  <si>
    <t>Solid Amine Vacuum Desorption SAVD</t>
  </si>
  <si>
    <t>Air Polarized Concentrator APC</t>
  </si>
  <si>
    <t>Cascade Distillation Subsystem CDS</t>
  </si>
  <si>
    <t>Capillary Brine Residual in Containment Water Recovery System BRIC</t>
  </si>
  <si>
    <t>Ionomer-membrane Water Processor IWP</t>
  </si>
  <si>
    <t>Heat Melt Compactor HMC</t>
  </si>
  <si>
    <t>Carbon Dioxide Concentration Assembly CCA</t>
  </si>
  <si>
    <t>Other Systems:</t>
  </si>
  <si>
    <t>Atmosphere Monitoring:</t>
  </si>
  <si>
    <t>Trace Contaminant Control:</t>
  </si>
  <si>
    <t>ECLSS Composition:</t>
  </si>
  <si>
    <t>Brine Processing System:</t>
  </si>
  <si>
    <t>Humidity Control System:</t>
  </si>
  <si>
    <t>Plant Growth System:</t>
  </si>
  <si>
    <t>O2 Storage:</t>
  </si>
  <si>
    <t>H2O Storage:</t>
  </si>
  <si>
    <t>GC/MS</t>
  </si>
  <si>
    <t>MS/MS</t>
  </si>
  <si>
    <t>CEA</t>
  </si>
  <si>
    <t>H2 Storage:</t>
  </si>
  <si>
    <t>Clothes</t>
  </si>
  <si>
    <t>CO2 reduct.</t>
  </si>
  <si>
    <t>Total Res.</t>
  </si>
  <si>
    <t>Resupply</t>
  </si>
  <si>
    <t>MCA and ESM Criticalities</t>
  </si>
  <si>
    <t>Brine Proc.</t>
  </si>
  <si>
    <t>Clothes/misc.</t>
  </si>
  <si>
    <t>CO2_Prod</t>
  </si>
  <si>
    <t>[kg/h]</t>
  </si>
  <si>
    <t>CO2_pp</t>
  </si>
  <si>
    <t>[kPa]</t>
  </si>
  <si>
    <t>O2_pp</t>
  </si>
  <si>
    <t>O2_Con</t>
  </si>
  <si>
    <t>Water</t>
  </si>
  <si>
    <t>humidity</t>
  </si>
  <si>
    <t>WW</t>
  </si>
  <si>
    <t>O2 res.</t>
  </si>
  <si>
    <t>H2 res.</t>
  </si>
  <si>
    <t>N2 res.</t>
  </si>
  <si>
    <t>H2O res.</t>
  </si>
  <si>
    <t>Food res.</t>
  </si>
  <si>
    <t>Processed CO2 [kg/d]:</t>
  </si>
  <si>
    <t>Processed H2O [kg/d]:</t>
  </si>
  <si>
    <t>Regenerated H2O [kg/d]:</t>
  </si>
  <si>
    <t>Produced O2 [kg/d]:</t>
  </si>
  <si>
    <t>Regenerated O2 [kg/d]:</t>
  </si>
  <si>
    <t>Produced Edible [kg/d]:</t>
  </si>
  <si>
    <t>Temp.</t>
  </si>
  <si>
    <t>[K]</t>
  </si>
  <si>
    <t>[kJ/h]</t>
  </si>
  <si>
    <t>Rel. Hum.</t>
  </si>
  <si>
    <t>H2O in plants</t>
  </si>
  <si>
    <t>contains</t>
  </si>
  <si>
    <t>Configuration that dominate others contain a 1 in the row of the dominated configuration</t>
  </si>
  <si>
    <t>Configrations that are dominanted contain a -1 in the row of the dominating configuration</t>
  </si>
  <si>
    <t>PGC Supply</t>
  </si>
  <si>
    <r>
      <t>H</t>
    </r>
    <r>
      <rPr>
        <b/>
        <vertAlign val="subscript"/>
        <sz val="11"/>
        <color theme="0"/>
        <rFont val="Calibri"/>
        <family val="2"/>
        <scheme val="minor"/>
      </rPr>
      <t>2</t>
    </r>
    <r>
      <rPr>
        <b/>
        <sz val="11"/>
        <color theme="0"/>
        <rFont val="Calibri"/>
        <family val="2"/>
        <scheme val="minor"/>
      </rPr>
      <t xml:space="preserve"> Supply</t>
    </r>
  </si>
  <si>
    <t>WW Filtration</t>
  </si>
  <si>
    <t>Urine Processing</t>
  </si>
  <si>
    <r>
      <t>O</t>
    </r>
    <r>
      <rPr>
        <b/>
        <vertAlign val="subscript"/>
        <sz val="11"/>
        <color theme="0"/>
        <rFont val="Calibri"/>
        <family val="2"/>
        <scheme val="minor"/>
      </rPr>
      <t>2</t>
    </r>
    <r>
      <rPr>
        <b/>
        <sz val="11"/>
        <color theme="0"/>
        <rFont val="Calibri"/>
        <family val="2"/>
        <scheme val="minor"/>
      </rPr>
      <t xml:space="preserve"> Supply</t>
    </r>
  </si>
  <si>
    <t>Break Even Points [d]</t>
  </si>
  <si>
    <t>The Configuration with no breakeven points is the configuration which is initially optimal, but requires the most ESM/time</t>
  </si>
  <si>
    <t>ESM/time</t>
  </si>
  <si>
    <t>Brine Processing</t>
  </si>
  <si>
    <t>Selected ECLSS:</t>
  </si>
  <si>
    <t>Other Payload</t>
  </si>
  <si>
    <t>Crew Size</t>
  </si>
  <si>
    <t>Cargo Capacity [kg]</t>
  </si>
  <si>
    <t>ECLSS Mass:</t>
  </si>
  <si>
    <t>ECLSS Mass and Volume without Resupply, can be used to estimate the required launches to deploy the ECLSS</t>
  </si>
  <si>
    <t>ECLSS Vol.:</t>
  </si>
  <si>
    <t>Spare Vol.:</t>
  </si>
  <si>
    <t>Clothes/ Spares</t>
  </si>
  <si>
    <t>Spare Mass:</t>
  </si>
  <si>
    <t>Cargo mass Left [kg]</t>
  </si>
  <si>
    <t>Sum of Flight Criticalities</t>
  </si>
  <si>
    <t>Number of Missions</t>
  </si>
  <si>
    <t>FCI [-]</t>
  </si>
  <si>
    <t>Assumed PGC based on BVAD [10} values, adjusted for LED power consumption and cooling using values from [73] using the assumed area of 1.848m^2 for an ISPR PGC from [74] and the volume of an ISPR. Note Efficiency fields for plants are m^2 values for the calculation! Note this PGC is not assumed but as a fix unit! The mass was adjusted to use LED lamp masses and resupply factors based on the GC16 LED from Greenception (https://greenception.com/de/produkt/gc-16-plus/) with a power consumption of 700 W and a Mass of 17.5 kg (BVAD Sodium Lamps weigh a total of 31.3 kg) and a lifetime of 40000 h</t>
  </si>
  <si>
    <t>Since the BVAD assumes a logistics mass per year, LiSTOT adjusted the value to LED lights and included the LED spare parts as resupply mass of the PGC (which makes the value independent of the selected reliability calculation)</t>
  </si>
  <si>
    <t>Assumed PGC based on BVAD [10] values, adjusted for LED power consumption and cooling using values from [73] assuming the 
Note Efficiency fields for plants are m^2 values for the calculation!he mass was adjusted to use LED lamp masses and resupply factors based on the GC16 LED from Greenception (https://greenception.com/de/produkt/gc-16-plus/) with a power consumption of 700 W and a Mass of 17.5 kg (BVAD Sodium Lamps weigh a total of 31.3 kg) and a lifetime of 40000 h</t>
  </si>
  <si>
    <t>Mass for WPA + UPA from [66] and [70], for WPA subtracted mass from[ 42] see also [70]. Spares from [70]. Power demand from [67], averaged based on the nominal processing capacity of WPA from [68] and the required water flow for a crew of 6. Volume based on 69 is one and a half ISPR with 1.571 m³ each. MTBF also based on [66]. Resupply per kg of water is ~3.2 %</t>
  </si>
  <si>
    <t>Urine pretreat with phosphoric acid was approved for use on ISS and has been delivered to the ISS. With the new urine pretreat formulation the urine recovery is currently at 85 % [69], with the goal of eventually achieving 90% recovery on ISS. System+ORU mass [42], [66] and [70], Power values from [67] assuming cycling based on [62] for average power, for ISS (designed to process 9kg/day (which is 5.63 CM)+20% performance increase is 7 CM!). Volume based on pictures from 69 is half an ISPR which has 1.571 m³. MTBF also based on [66] (inverse sum of the individual ORU MTBFS). Resupply per kg of water is ~12.6 %</t>
  </si>
  <si>
    <t>Lunar Palace PGC</t>
  </si>
  <si>
    <t>An optimized 4‐day diet meal plan for ‘Lunar Palace 1’</t>
  </si>
  <si>
    <t>Yuming Fu, Rong Guo, Hong Liu</t>
  </si>
  <si>
    <t>Plant Growth Chamber (PGC) based on the Lunar Palace see [76]</t>
  </si>
  <si>
    <t>values also based on BVAD see ELS PGC</t>
  </si>
  <si>
    <t>O2 for in-
cineration</t>
  </si>
  <si>
    <t>Plant Growth Chamber (PGC) using salad and carbohydrate crop diet from BVAD scaled up to provide a full diet</t>
  </si>
  <si>
    <t>Plant Growth Chamber (PGC) using All ELS (Exploration Life Support) crop diet from BVAD, scaled up to provide 12.7 MJ/d</t>
  </si>
  <si>
    <t>Scaled Part ELS PGC</t>
  </si>
  <si>
    <t>10 h für 360day mission
37.2 h per 1000 kg of O2</t>
  </si>
  <si>
    <t>from [66] subtracting the WPA maintenance from the 320 hrs total over 6.5 years. Calculated per kg of water</t>
  </si>
  <si>
    <t>from [66] maintenance for WPA over 6.5 years was a total of 101.8 hrs which is then calculated per kg of water</t>
  </si>
  <si>
    <t>Maintenance and resupply based on [12]
0</t>
  </si>
  <si>
    <t>Temperature and humidity control. Peak power of 705 W. CHX need dryout of 8 hrs per week to prevent microbial growth. Second data is for crew of 6 on  mars transit vehicle [14], ISS data is from [23] and corresponds to 470 W power consumption, 112 kg mass. In [23] it is also stated that the CCAA can remove 3.5 kW heat including 1 kW latent heat. Note Efficiency must be latent heat removal capability for THC to be scaled correctly if plants are also used! Also note that the cooling CCAA requires is not covered here, as that is represented by the crew schedule and heat generated of other systems. Here only the additional heat that the CCAA produces is covered</t>
  </si>
  <si>
    <t>Balanced Nutrition PGC</t>
  </si>
  <si>
    <t>Plant Growth Chamber (PGC) which provides a balanced nutrition (&gt;50% cabohydrates, &gt;30% proteins and &gt;12% fats)</t>
  </si>
  <si>
    <t>Exploration PGC</t>
  </si>
  <si>
    <t>Plant Growth Chamber (PGC) based on optimization algorithm with some manual adjustments, require 57 m^2 for a full diet (plus some nutrient supplements). This PGC can be considered the smallest viable option to supply a full diet for a crew member</t>
  </si>
  <si>
    <t>PBR:</t>
  </si>
  <si>
    <t>Nutrients res.</t>
  </si>
  <si>
    <t>Mission 25</t>
  </si>
  <si>
    <t>Mission 26</t>
  </si>
  <si>
    <t>Mission 27</t>
  </si>
  <si>
    <t>Mission 28</t>
  </si>
  <si>
    <t>Mission 29</t>
  </si>
  <si>
    <t>Mission 30</t>
  </si>
  <si>
    <t>Nutrients Supply</t>
  </si>
  <si>
    <t>PGC res.</t>
  </si>
  <si>
    <t>PBR res.</t>
  </si>
  <si>
    <t>PBR Supply</t>
  </si>
  <si>
    <t>PBR urine</t>
  </si>
  <si>
    <t>Carbon Dioxide Removal by Ionic Liquid Sorbend</t>
  </si>
  <si>
    <t>CDRILS</t>
  </si>
  <si>
    <t>PPU</t>
  </si>
  <si>
    <t>LPU</t>
  </si>
  <si>
    <t>Plasma Pyrolysis Unit</t>
  </si>
  <si>
    <t>Laser Pyrolysis Unit</t>
  </si>
  <si>
    <t>MPA</t>
  </si>
  <si>
    <t>Methane Processing</t>
  </si>
  <si>
    <t>CH4 Processing System:</t>
  </si>
  <si>
    <t>Produced H2 [kg/d]:</t>
  </si>
  <si>
    <t>CH4 Proc.</t>
  </si>
  <si>
    <t>CH4 proc. res.</t>
  </si>
  <si>
    <t>CH4 proc. Supply</t>
  </si>
  <si>
    <t>Mission 31</t>
  </si>
  <si>
    <t>Mission 32</t>
  </si>
  <si>
    <t>Mission 33</t>
  </si>
  <si>
    <t>Mission 34</t>
  </si>
  <si>
    <t>Mission 35</t>
  </si>
  <si>
    <t>Mission 36</t>
  </si>
  <si>
    <t>Mission 37</t>
  </si>
  <si>
    <t>Mission 38</t>
  </si>
  <si>
    <t>Mission 39</t>
  </si>
  <si>
    <t>Mission 40</t>
  </si>
  <si>
    <t>Mission 41</t>
  </si>
  <si>
    <t>Mission 42</t>
  </si>
  <si>
    <t>Mission 43</t>
  </si>
  <si>
    <t>Mission 44</t>
  </si>
  <si>
    <t>Mission 45</t>
  </si>
  <si>
    <t>Mission 46</t>
  </si>
  <si>
    <t>Mission 47</t>
  </si>
  <si>
    <t>Mission 48</t>
  </si>
  <si>
    <t>Mission 49</t>
  </si>
  <si>
    <t>Mission 50</t>
  </si>
  <si>
    <t>Mission 51</t>
  </si>
  <si>
    <t>Mission 52</t>
  </si>
  <si>
    <t>Mission 53</t>
  </si>
  <si>
    <t>Mission 54</t>
  </si>
  <si>
    <t>Mission 55</t>
  </si>
  <si>
    <t>Mission 56</t>
  </si>
  <si>
    <t>Mission 57</t>
  </si>
  <si>
    <t>Mission 58</t>
  </si>
  <si>
    <t>Mission 59</t>
  </si>
  <si>
    <t>Mission 60</t>
  </si>
  <si>
    <t>Mission 61</t>
  </si>
  <si>
    <t>Mission 62</t>
  </si>
  <si>
    <t>Mission 63</t>
  </si>
  <si>
    <t>Mission 64</t>
  </si>
  <si>
    <t>Mission 65</t>
  </si>
  <si>
    <t>Mission 66</t>
  </si>
  <si>
    <t>Mission 67</t>
  </si>
  <si>
    <t>Mission 68</t>
  </si>
  <si>
    <t>Mission 69</t>
  </si>
  <si>
    <t>Mission 70</t>
  </si>
  <si>
    <t>Mission 71</t>
  </si>
  <si>
    <t>Mission 72</t>
  </si>
  <si>
    <t>Mission 73</t>
  </si>
  <si>
    <t>Mission 74</t>
  </si>
  <si>
    <t>Mission 75</t>
  </si>
  <si>
    <t>Mission 76</t>
  </si>
  <si>
    <t>Mission 77</t>
  </si>
  <si>
    <t>Mission 78</t>
  </si>
  <si>
    <t>Mission 79</t>
  </si>
  <si>
    <t>Mission 80</t>
  </si>
  <si>
    <t>Mission 81</t>
  </si>
  <si>
    <t>Mission 82</t>
  </si>
  <si>
    <t>Mission 83</t>
  </si>
  <si>
    <t>Mission 84</t>
  </si>
  <si>
    <t>Mission 85</t>
  </si>
  <si>
    <t>Mission 86</t>
  </si>
  <si>
    <t>Mission 87</t>
  </si>
  <si>
    <t>Mission 88</t>
  </si>
  <si>
    <t>Mission 89</t>
  </si>
  <si>
    <t>Mission 90</t>
  </si>
  <si>
    <t>Mission 91</t>
  </si>
  <si>
    <t>Mission 92</t>
  </si>
  <si>
    <t>Mission 93</t>
  </si>
  <si>
    <t>Mission 94</t>
  </si>
  <si>
    <t>Mission 95</t>
  </si>
  <si>
    <t>Mission 96</t>
  </si>
  <si>
    <t>Mission 97</t>
  </si>
  <si>
    <t>Mission 98</t>
  </si>
  <si>
    <t>Mission 99</t>
  </si>
  <si>
    <t>Mission 100</t>
  </si>
  <si>
    <t>Mission 101</t>
  </si>
  <si>
    <t>Mission 102</t>
  </si>
  <si>
    <t>Mission 103</t>
  </si>
  <si>
    <t>Mission 104</t>
  </si>
  <si>
    <t>Mission 105</t>
  </si>
  <si>
    <t>Mission 106</t>
  </si>
  <si>
    <t>Mission 107</t>
  </si>
  <si>
    <t>Mission 108</t>
  </si>
  <si>
    <t>Mission 109</t>
  </si>
  <si>
    <t>Mission 110</t>
  </si>
  <si>
    <t>Mission 111</t>
  </si>
  <si>
    <t>Mission 112</t>
  </si>
  <si>
    <t>Mission 113</t>
  </si>
  <si>
    <t>Mission 114</t>
  </si>
  <si>
    <t>Mission 115</t>
  </si>
  <si>
    <t>Mission 116</t>
  </si>
  <si>
    <t>Mission 117</t>
  </si>
  <si>
    <t>Mission 118</t>
  </si>
  <si>
    <t>Mission 119</t>
  </si>
  <si>
    <t>Mission 120</t>
  </si>
  <si>
    <t>Mission 121</t>
  </si>
  <si>
    <t>Mission 122</t>
  </si>
  <si>
    <t>Mission 123</t>
  </si>
  <si>
    <t>Mission 124</t>
  </si>
  <si>
    <t>Mission 125</t>
  </si>
  <si>
    <t>Mission 126</t>
  </si>
  <si>
    <t>Mission 127</t>
  </si>
  <si>
    <t>Mission 128</t>
  </si>
  <si>
    <t>Mission 129</t>
  </si>
  <si>
    <t>Mission 130</t>
  </si>
  <si>
    <t>Mission 131</t>
  </si>
  <si>
    <t>Mission 132</t>
  </si>
  <si>
    <t>Mission 133</t>
  </si>
  <si>
    <t>Mission 134</t>
  </si>
  <si>
    <t>Mission 135</t>
  </si>
  <si>
    <t>Mission 136</t>
  </si>
  <si>
    <t>Mission 137</t>
  </si>
  <si>
    <t>Mission 138</t>
  </si>
  <si>
    <t>Mission 139</t>
  </si>
  <si>
    <t>Mission 140</t>
  </si>
  <si>
    <t>Mission 141</t>
  </si>
  <si>
    <t>Mission 142</t>
  </si>
  <si>
    <t>Mission 143</t>
  </si>
  <si>
    <t>Mission 144</t>
  </si>
  <si>
    <t>Mission 145</t>
  </si>
  <si>
    <t>Mission 146</t>
  </si>
  <si>
    <t>Mission 147</t>
  </si>
  <si>
    <t>Mission 148</t>
  </si>
  <si>
    <t>Mission 149</t>
  </si>
  <si>
    <t>Mission 150</t>
  </si>
  <si>
    <t>Mission 151</t>
  </si>
  <si>
    <t>Mission 152</t>
  </si>
  <si>
    <t>Mission 153</t>
  </si>
  <si>
    <t>Mission 154</t>
  </si>
  <si>
    <t>Mission 155</t>
  </si>
  <si>
    <t>Mission 156</t>
  </si>
  <si>
    <t>Mission 157</t>
  </si>
  <si>
    <t>Mission 158</t>
  </si>
  <si>
    <t>Mission 159</t>
  </si>
  <si>
    <t>Mission 160</t>
  </si>
  <si>
    <t>Mission 161</t>
  </si>
  <si>
    <t>Mission 162</t>
  </si>
  <si>
    <t>Mission 163</t>
  </si>
  <si>
    <t>Mission 164</t>
  </si>
  <si>
    <t>Mission 165</t>
  </si>
  <si>
    <t>Mission 166</t>
  </si>
  <si>
    <t>Mission 167</t>
  </si>
  <si>
    <t>Mission 168</t>
  </si>
  <si>
    <t>Mission 169</t>
  </si>
  <si>
    <t>Mission 170</t>
  </si>
  <si>
    <t>Mission 171</t>
  </si>
  <si>
    <t>Mission 172</t>
  </si>
  <si>
    <t>Mission 173</t>
  </si>
  <si>
    <t>Mission 174</t>
  </si>
  <si>
    <t>Mission 175</t>
  </si>
  <si>
    <t>Mission 176</t>
  </si>
  <si>
    <t>Mission 177</t>
  </si>
  <si>
    <t>Mission 178</t>
  </si>
  <si>
    <t>Mission 179</t>
  </si>
  <si>
    <t>Mission 180</t>
  </si>
  <si>
    <t>Mission 181</t>
  </si>
  <si>
    <t>Mission 182</t>
  </si>
  <si>
    <t>Mission 183</t>
  </si>
  <si>
    <t>Mission 184</t>
  </si>
  <si>
    <t>Mission 185</t>
  </si>
  <si>
    <t>Mission 186</t>
  </si>
  <si>
    <t>Mission 187</t>
  </si>
  <si>
    <t>Mission 188</t>
  </si>
  <si>
    <t>Mission 189</t>
  </si>
  <si>
    <t>Mission 190</t>
  </si>
  <si>
    <t>Mission 191</t>
  </si>
  <si>
    <t>Mission 192</t>
  </si>
  <si>
    <t>Mission 193</t>
  </si>
  <si>
    <t>Mission 194</t>
  </si>
  <si>
    <t>Mission 195</t>
  </si>
  <si>
    <t>Mission 196</t>
  </si>
  <si>
    <t>Mission 197</t>
  </si>
  <si>
    <t>Mission 198</t>
  </si>
  <si>
    <t>Mission 199</t>
  </si>
  <si>
    <t>Mission 200</t>
  </si>
  <si>
    <t>Mission 201</t>
  </si>
  <si>
    <t>Mission 202</t>
  </si>
  <si>
    <t>Mission 203</t>
  </si>
  <si>
    <t>Mission 204</t>
  </si>
  <si>
    <t>Mission 205</t>
  </si>
  <si>
    <t>Mission 206</t>
  </si>
  <si>
    <t>Mission 207</t>
  </si>
  <si>
    <t>Mission 208</t>
  </si>
  <si>
    <t>Mission 209</t>
  </si>
  <si>
    <t>Mission 210</t>
  </si>
  <si>
    <t>Mission 211</t>
  </si>
  <si>
    <t>Mission 212</t>
  </si>
  <si>
    <t>Mission 213</t>
  </si>
  <si>
    <t>Mission 214</t>
  </si>
  <si>
    <t>Mission 215</t>
  </si>
  <si>
    <t>Mission 216</t>
  </si>
  <si>
    <t>Mission 217</t>
  </si>
  <si>
    <t>Mission 218</t>
  </si>
  <si>
    <t>Mission 219</t>
  </si>
  <si>
    <t>Mission 220</t>
  </si>
  <si>
    <t>Mission 221</t>
  </si>
  <si>
    <t>Mission 222</t>
  </si>
  <si>
    <t>Mission 223</t>
  </si>
  <si>
    <t>Mission 224</t>
  </si>
  <si>
    <t>Mission 225</t>
  </si>
  <si>
    <t>Mission 226</t>
  </si>
  <si>
    <t>Mission 227</t>
  </si>
  <si>
    <t>Mission 228</t>
  </si>
  <si>
    <t>Mission 229</t>
  </si>
  <si>
    <t>Mission 230</t>
  </si>
  <si>
    <t>Mission 231</t>
  </si>
  <si>
    <t>Mission 232</t>
  </si>
  <si>
    <t>Mission 233</t>
  </si>
  <si>
    <t>Mission 234</t>
  </si>
  <si>
    <t>Mission 235</t>
  </si>
  <si>
    <t>Mission 236</t>
  </si>
  <si>
    <t>Mission 237</t>
  </si>
  <si>
    <t>Mission 238</t>
  </si>
  <si>
    <t>Mission 239</t>
  </si>
  <si>
    <t>Mission 240</t>
  </si>
  <si>
    <t>Mission 241</t>
  </si>
  <si>
    <t>Mission 242</t>
  </si>
  <si>
    <t>Mission 243</t>
  </si>
  <si>
    <t>Mission 244</t>
  </si>
  <si>
    <t>Mission 245</t>
  </si>
  <si>
    <t>Mission 246</t>
  </si>
  <si>
    <t>Mission 247</t>
  </si>
  <si>
    <t>Mission 248</t>
  </si>
  <si>
    <t>Mission 249</t>
  </si>
  <si>
    <t>Mission 250</t>
  </si>
  <si>
    <t>Mission 251</t>
  </si>
  <si>
    <t>Mission 252</t>
  </si>
  <si>
    <t>Mission 253</t>
  </si>
  <si>
    <t>Mission 254</t>
  </si>
  <si>
    <t>Mission 255</t>
  </si>
  <si>
    <t>Mission 256</t>
  </si>
  <si>
    <t>Mission 257</t>
  </si>
  <si>
    <t>Mission 258</t>
  </si>
  <si>
    <t>Mission 259</t>
  </si>
  <si>
    <t>Mission 260</t>
  </si>
  <si>
    <t>Mission 261</t>
  </si>
  <si>
    <t>Mission 262</t>
  </si>
  <si>
    <t>Mission 263</t>
  </si>
  <si>
    <t>Mission 264</t>
  </si>
  <si>
    <t>Mission 265</t>
  </si>
  <si>
    <t>Mission 266</t>
  </si>
  <si>
    <t>Mission 267</t>
  </si>
  <si>
    <t>Mission 268</t>
  </si>
  <si>
    <t>Mission 269</t>
  </si>
  <si>
    <t>Mission 270</t>
  </si>
  <si>
    <t>Mission 271</t>
  </si>
  <si>
    <t>Mission 272</t>
  </si>
  <si>
    <t>Mission 273</t>
  </si>
  <si>
    <t>Mission 274</t>
  </si>
  <si>
    <t>Mission 275</t>
  </si>
  <si>
    <t>Mission 276</t>
  </si>
  <si>
    <t>Mission 277</t>
  </si>
  <si>
    <t>Mission 278</t>
  </si>
  <si>
    <t>Mission 279</t>
  </si>
  <si>
    <t>Mission 280</t>
  </si>
  <si>
    <t>Mission 281</t>
  </si>
  <si>
    <t>Mission 282</t>
  </si>
  <si>
    <t>Mission 283</t>
  </si>
  <si>
    <t>Mission 284</t>
  </si>
  <si>
    <t>Mission 285</t>
  </si>
  <si>
    <t>Mission 286</t>
  </si>
  <si>
    <t>Mission 287</t>
  </si>
  <si>
    <t>Mission 288</t>
  </si>
  <si>
    <t>Mission 289</t>
  </si>
  <si>
    <t>Mission 290</t>
  </si>
  <si>
    <t>Mission 291</t>
  </si>
  <si>
    <t>Mission 292</t>
  </si>
  <si>
    <t>Mission 293</t>
  </si>
  <si>
    <t>Mission 294</t>
  </si>
  <si>
    <t>Mission 295</t>
  </si>
  <si>
    <t>Mission 296</t>
  </si>
  <si>
    <t>Mission 297</t>
  </si>
  <si>
    <t>Mission 298</t>
  </si>
  <si>
    <t>Mission 299</t>
  </si>
  <si>
    <t>Mission 300</t>
  </si>
  <si>
    <t>C</t>
  </si>
  <si>
    <t>C2H2</t>
  </si>
  <si>
    <t>Methane Processing Assembly (Carbon Vapor Deposition)</t>
  </si>
  <si>
    <t>Literature Values for crew of 4</t>
  </si>
  <si>
    <t>Literature Values for 4 CM</t>
  </si>
  <si>
    <t>Schedule type:_x000D_
_x000D_
Default Schedule</t>
  </si>
  <si>
    <t>Moon Transfer NO CH4</t>
  </si>
  <si>
    <t>CH4</t>
  </si>
  <si>
    <r>
      <t>H</t>
    </r>
    <r>
      <rPr>
        <vertAlign val="subscript"/>
        <sz val="11"/>
        <color rgb="FF6C8EBF"/>
        <rFont val="Calibri"/>
        <family val="2"/>
        <scheme val="minor"/>
      </rPr>
      <t>2</t>
    </r>
    <r>
      <rPr>
        <sz val="11"/>
        <color rgb="FF6C8EBF"/>
        <rFont val="Calibri"/>
        <family val="2"/>
        <scheme val="minor"/>
      </rPr>
      <t>O</t>
    </r>
  </si>
  <si>
    <r>
      <t>CO</t>
    </r>
    <r>
      <rPr>
        <vertAlign val="subscript"/>
        <sz val="11"/>
        <color rgb="FF999999"/>
        <rFont val="Calibri"/>
        <family val="2"/>
        <scheme val="minor"/>
      </rPr>
      <t>2</t>
    </r>
  </si>
  <si>
    <r>
      <t>O</t>
    </r>
    <r>
      <rPr>
        <vertAlign val="subscript"/>
        <sz val="11"/>
        <color rgb="FF7030A0"/>
        <rFont val="Calibri"/>
        <family val="2"/>
        <scheme val="minor"/>
      </rPr>
      <t>2</t>
    </r>
  </si>
  <si>
    <r>
      <t>H</t>
    </r>
    <r>
      <rPr>
        <vertAlign val="subscript"/>
        <sz val="11"/>
        <color rgb="FFE41A1C"/>
        <rFont val="Calibri"/>
        <family val="2"/>
        <scheme val="minor"/>
      </rPr>
      <t>2</t>
    </r>
  </si>
  <si>
    <t>both</t>
  </si>
  <si>
    <t>Activated Charcoal Bed CBA</t>
  </si>
  <si>
    <t>Fourier Transform Infrared Spectroscopy FTIR</t>
  </si>
  <si>
    <t>General Laboratory Active Cryogenic International Space Station (ISS) Experiment Refrigerator GLACIER</t>
  </si>
  <si>
    <t>Lithium Hydroxide Sorbent Bed SBA</t>
  </si>
  <si>
    <t>Manual Pressurization Equalization Valve
MPEV</t>
  </si>
  <si>
    <t>Microgravity Experiment Research Locker Incubator MERLIN</t>
  </si>
  <si>
    <t>Minus Eighty-Degree Laboratory Freezer for ISS MELFI</t>
  </si>
  <si>
    <t>Oxygen Candles LiClO4</t>
  </si>
  <si>
    <t>Portable Breathing Apparatus PBA
Quick Disconnect</t>
  </si>
  <si>
    <t>Pressure Control Panel PCP</t>
  </si>
  <si>
    <t>Restraints and Mobility Aids R&amp;Mas</t>
  </si>
  <si>
    <t>Condensing Heat Exchanger CHX</t>
  </si>
  <si>
    <t>Heat Exchanger HX ORU</t>
  </si>
  <si>
    <t>Temperature Control and Check Valve TCCV</t>
  </si>
  <si>
    <t>Water seperator WS</t>
  </si>
  <si>
    <t>Electrical Interface Box EIB</t>
  </si>
  <si>
    <t>Cabin Air Ducting Damper Assembly CADDA</t>
  </si>
  <si>
    <t>PlantName</t>
  </si>
  <si>
    <t>CarbonContent</t>
  </si>
  <si>
    <t>O2Production</t>
  </si>
  <si>
    <t>CO2Consumption</t>
  </si>
  <si>
    <t>WaterUptake</t>
  </si>
  <si>
    <t>EdibleGrowth</t>
  </si>
  <si>
    <t>InedibleGrowth</t>
  </si>
  <si>
    <t>EdibleWaterContent</t>
  </si>
  <si>
    <t>EnergyContent</t>
  </si>
  <si>
    <t>Cabbage</t>
  </si>
  <si>
    <t>0.4</t>
  </si>
  <si>
    <t>7.19</t>
  </si>
  <si>
    <t>9.88</t>
  </si>
  <si>
    <t>1.77</t>
  </si>
  <si>
    <t>75.78</t>
  </si>
  <si>
    <t>6.74</t>
  </si>
  <si>
    <t xml:space="preserve"> Carrot</t>
  </si>
  <si>
    <t xml:space="preserve"> 0.41</t>
  </si>
  <si>
    <t xml:space="preserve"> 16.36</t>
  </si>
  <si>
    <t xml:space="preserve"> 22.5</t>
  </si>
  <si>
    <t xml:space="preserve"> 1.77</t>
  </si>
  <si>
    <t xml:space="preserve"> 74.83</t>
  </si>
  <si>
    <t xml:space="preserve"> 59.87</t>
  </si>
  <si>
    <t xml:space="preserve"> Chard</t>
  </si>
  <si>
    <t xml:space="preserve"> 0.4</t>
  </si>
  <si>
    <t xml:space="preserve"> 11.49</t>
  </si>
  <si>
    <t xml:space="preserve"> 15.79</t>
  </si>
  <si>
    <t xml:space="preserve"> 87.5</t>
  </si>
  <si>
    <t xml:space="preserve"> 37.69</t>
  </si>
  <si>
    <t>Celery</t>
  </si>
  <si>
    <t xml:space="preserve"> 12.24</t>
  </si>
  <si>
    <t xml:space="preserve"> 16.83</t>
  </si>
  <si>
    <t xml:space="preserve"> 1.24</t>
  </si>
  <si>
    <t xml:space="preserve"> 103.27</t>
  </si>
  <si>
    <t xml:space="preserve"> 11.47</t>
  </si>
  <si>
    <t>Dry Bean</t>
  </si>
  <si>
    <t xml:space="preserve"> 30.67</t>
  </si>
  <si>
    <t xml:space="preserve"> 42.17</t>
  </si>
  <si>
    <t xml:space="preserve"> 2.53</t>
  </si>
  <si>
    <t xml:space="preserve"> 11.11</t>
  </si>
  <si>
    <t xml:space="preserve"> Green Onion</t>
  </si>
  <si>
    <t xml:space="preserve"> 10.67</t>
  </si>
  <si>
    <t xml:space="preserve"> 14.67</t>
  </si>
  <si>
    <t xml:space="preserve"> 1.74</t>
  </si>
  <si>
    <t xml:space="preserve"> 81.82</t>
  </si>
  <si>
    <t xml:space="preserve"> Lettuce</t>
  </si>
  <si>
    <t xml:space="preserve"> 7.78</t>
  </si>
  <si>
    <t xml:space="preserve"> 10.7</t>
  </si>
  <si>
    <t xml:space="preserve"> 131.35</t>
  </si>
  <si>
    <t xml:space="preserve"> 7.3</t>
  </si>
  <si>
    <t>Onion</t>
  </si>
  <si>
    <t xml:space="preserve"> 16.5</t>
  </si>
  <si>
    <t xml:space="preserve"> Pea</t>
  </si>
  <si>
    <t xml:space="preserve"> 32.92</t>
  </si>
  <si>
    <t xml:space="preserve"> 45.26</t>
  </si>
  <si>
    <t xml:space="preserve"> 2.46</t>
  </si>
  <si>
    <t xml:space="preserve"> 12.2</t>
  </si>
  <si>
    <t xml:space="preserve"> Peanut</t>
  </si>
  <si>
    <t xml:space="preserve"> 0.6</t>
  </si>
  <si>
    <t xml:space="preserve"> 35.84</t>
  </si>
  <si>
    <t xml:space="preserve"> 49.28</t>
  </si>
  <si>
    <t xml:space="preserve"> 2.77</t>
  </si>
  <si>
    <t xml:space="preserve"> 5.96</t>
  </si>
  <si>
    <t xml:space="preserve"> 168.75</t>
  </si>
  <si>
    <t xml:space="preserve"> 5.6</t>
  </si>
  <si>
    <t xml:space="preserve"> Pepper</t>
  </si>
  <si>
    <t xml:space="preserve"> 24.71</t>
  </si>
  <si>
    <t xml:space="preserve"> 33.98</t>
  </si>
  <si>
    <t xml:space="preserve"> 148.94</t>
  </si>
  <si>
    <t xml:space="preserve"> 127.43</t>
  </si>
  <si>
    <t xml:space="preserve"> Radish</t>
  </si>
  <si>
    <t xml:space="preserve"> 11.86</t>
  </si>
  <si>
    <t xml:space="preserve"> 16.31</t>
  </si>
  <si>
    <t xml:space="preserve"> 91.67</t>
  </si>
  <si>
    <t xml:space="preserve"> Red Beet</t>
  </si>
  <si>
    <t xml:space="preserve"> 7.11</t>
  </si>
  <si>
    <t xml:space="preserve"> 9.77</t>
  </si>
  <si>
    <t xml:space="preserve"> 32.5</t>
  </si>
  <si>
    <t xml:space="preserve"> Rice</t>
  </si>
  <si>
    <t xml:space="preserve"> 0.42</t>
  </si>
  <si>
    <t xml:space="preserve"> 36.55</t>
  </si>
  <si>
    <t xml:space="preserve"> 50.26</t>
  </si>
  <si>
    <t xml:space="preserve"> 3.43</t>
  </si>
  <si>
    <t xml:space="preserve"> 10.3</t>
  </si>
  <si>
    <t xml:space="preserve"> 211.58</t>
  </si>
  <si>
    <t xml:space="preserve"> Snap Bean</t>
  </si>
  <si>
    <t xml:space="preserve"> 36.43</t>
  </si>
  <si>
    <t xml:space="preserve"> 50.09</t>
  </si>
  <si>
    <t xml:space="preserve"> 148.5</t>
  </si>
  <si>
    <t xml:space="preserve"> 178.2</t>
  </si>
  <si>
    <t xml:space="preserve"> Soybean</t>
  </si>
  <si>
    <t xml:space="preserve"> 0.46</t>
  </si>
  <si>
    <t xml:space="preserve"> 13.91</t>
  </si>
  <si>
    <t xml:space="preserve"> 19.13</t>
  </si>
  <si>
    <t xml:space="preserve"> 2.88</t>
  </si>
  <si>
    <t xml:space="preserve"> 5.04</t>
  </si>
  <si>
    <t xml:space="preserve"> 68.04</t>
  </si>
  <si>
    <t xml:space="preserve"> Spinach</t>
  </si>
  <si>
    <t xml:space="preserve"> 72.97</t>
  </si>
  <si>
    <t xml:space="preserve"> Strawberry</t>
  </si>
  <si>
    <t xml:space="preserve"> 0.43</t>
  </si>
  <si>
    <t xml:space="preserve"> 25.32</t>
  </si>
  <si>
    <t xml:space="preserve"> 34.82</t>
  </si>
  <si>
    <t xml:space="preserve"> 2.22</t>
  </si>
  <si>
    <t xml:space="preserve"> 77.88</t>
  </si>
  <si>
    <t xml:space="preserve"> 144.46</t>
  </si>
  <si>
    <t xml:space="preserve"> Sweet Potato</t>
  </si>
  <si>
    <t xml:space="preserve"> 41.12</t>
  </si>
  <si>
    <t xml:space="preserve"> 56.54</t>
  </si>
  <si>
    <t xml:space="preserve"> 51.72</t>
  </si>
  <si>
    <t xml:space="preserve"> Tomato</t>
  </si>
  <si>
    <t xml:space="preserve"> 26.36</t>
  </si>
  <si>
    <t xml:space="preserve"> 36.24</t>
  </si>
  <si>
    <t xml:space="preserve"> 173.76</t>
  </si>
  <si>
    <t xml:space="preserve"> Wheat</t>
  </si>
  <si>
    <t xml:space="preserve"> 11.79</t>
  </si>
  <si>
    <t xml:space="preserve"> 22.73</t>
  </si>
  <si>
    <t xml:space="preserve"> White Potato</t>
  </si>
  <si>
    <t xml:space="preserve"> 32.23</t>
  </si>
  <si>
    <t xml:space="preserve"> 45.23</t>
  </si>
  <si>
    <t xml:space="preserve"> 105.3</t>
  </si>
  <si>
    <t xml:space="preserve"> 90.25</t>
  </si>
  <si>
    <t xml:space="preserve"> Chufa</t>
  </si>
  <si>
    <t xml:space="preserve"> 8.87</t>
  </si>
  <si>
    <t xml:space="preserve"> 6.4</t>
  </si>
  <si>
    <t xml:space="preserve"> Cucumber</t>
  </si>
  <si>
    <t xml:space="preserve"> 167.17</t>
  </si>
  <si>
    <t>Scaled Part ELS</t>
  </si>
  <si>
    <t>Part ELS</t>
  </si>
  <si>
    <t>Lunar Palace</t>
  </si>
  <si>
    <t>Balanced</t>
  </si>
  <si>
    <t>0.086938</t>
  </si>
  <si>
    <t>0.033</t>
  </si>
  <si>
    <t>Carrot</t>
  </si>
  <si>
    <t>0.535</t>
  </si>
  <si>
    <t>Chard</t>
  </si>
  <si>
    <t>0.19232</t>
  </si>
  <si>
    <t>0.073</t>
  </si>
  <si>
    <t>1.17</t>
  </si>
  <si>
    <t>Green Onion</t>
  </si>
  <si>
    <t>0.416</t>
  </si>
  <si>
    <t>0.39961</t>
  </si>
  <si>
    <t>0.69392</t>
  </si>
  <si>
    <t>Lettuce</t>
  </si>
  <si>
    <t>0.42152</t>
  </si>
  <si>
    <t>0.16</t>
  </si>
  <si>
    <t>0.14331</t>
  </si>
  <si>
    <t>Pea</t>
  </si>
  <si>
    <t>0.81932</t>
  </si>
  <si>
    <t>0.311</t>
  </si>
  <si>
    <t>Peanut</t>
  </si>
  <si>
    <t>Pepper</t>
  </si>
  <si>
    <t>0.54797</t>
  </si>
  <si>
    <t>0.208</t>
  </si>
  <si>
    <t>Radish</t>
  </si>
  <si>
    <t>0.41233</t>
  </si>
  <si>
    <t>Red Beet</t>
  </si>
  <si>
    <t>Rice</t>
  </si>
  <si>
    <t>Snap Bean</t>
  </si>
  <si>
    <t>0.17651</t>
  </si>
  <si>
    <t>0.067</t>
  </si>
  <si>
    <t>Soybean</t>
  </si>
  <si>
    <t>116.73</t>
  </si>
  <si>
    <t>Spinach</t>
  </si>
  <si>
    <t>0.548</t>
  </si>
  <si>
    <t>Strawberry</t>
  </si>
  <si>
    <t>0.79922</t>
  </si>
  <si>
    <t>Sweet Potato</t>
  </si>
  <si>
    <t>3.48</t>
  </si>
  <si>
    <t>Tomato</t>
  </si>
  <si>
    <t>Wheat</t>
  </si>
  <si>
    <t>White Potato</t>
  </si>
  <si>
    <t>Chufa</t>
  </si>
  <si>
    <t>Cucumber</t>
  </si>
  <si>
    <t>0.047953</t>
  </si>
  <si>
    <t>PGC CONFIGURATION</t>
  </si>
  <si>
    <t>System level:  both</t>
  </si>
  <si>
    <t>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</si>
</sst>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0.0000"/>
    <numFmt numFmtId="166" formatCode="0.000"/>
    <numFmt numFmtId="167" formatCode="0.000000000"/>
    <numFmt numFmtId="168" formatCode="0.0"/>
    <numFmt numFmtId="169" formatCode="0.00000000"/>
    <numFmt numFmtId="170" formatCode="0.00000000000"/>
    <numFmt numFmtId="171" formatCode="[$-F400]h:mm:ss\ AM/PM"/>
    <numFmt numFmtId="172" formatCode="0E+00"/>
  </numFmts>
  <fonts count="63" x14ac:knownFonts="1">
    <font>
      <sz val="11"/>
      <color theme="1"/>
      <name val="Calibri"/>
      <family val="2"/>
      <scheme val="minor"/>
    </font>
    <font>
      <sz val="11"/>
      <color theme="1"/>
      <name val="Calibri"/>
      <family val="2"/>
      <scheme val="minor"/>
    </font>
    <font>
      <sz val="11"/>
      <color rgb="FF9C0006"/>
      <name val="Calibri"/>
      <family val="2"/>
      <scheme val="minor"/>
    </font>
    <font>
      <b/>
      <sz val="11"/>
      <color theme="1"/>
      <name val="Calibri"/>
      <family val="2"/>
      <scheme val="minor"/>
    </font>
    <font>
      <sz val="11"/>
      <name val="Calibri"/>
      <family val="2"/>
      <scheme val="minor"/>
    </font>
    <font>
      <i/>
      <sz val="11"/>
      <color theme="1"/>
      <name val="Calibri"/>
      <family val="2"/>
      <scheme val="minor"/>
    </font>
    <font>
      <b/>
      <sz val="12"/>
      <color theme="1"/>
      <name val="Calibri"/>
      <family val="2"/>
      <scheme val="minor"/>
    </font>
    <font>
      <b/>
      <sz val="20"/>
      <color theme="1"/>
      <name val="Calibri"/>
      <family val="2"/>
      <scheme val="minor"/>
    </font>
    <font>
      <b/>
      <sz val="14"/>
      <color theme="1"/>
      <name val="Calibri"/>
      <family val="2"/>
      <scheme val="minor"/>
    </font>
    <font>
      <sz val="12"/>
      <color theme="1"/>
      <name val="Calibri"/>
      <family val="2"/>
      <scheme val="minor"/>
    </font>
    <font>
      <vertAlign val="superscript"/>
      <sz val="11"/>
      <color theme="1"/>
      <name val="Calibri"/>
      <family val="2"/>
      <scheme val="minor"/>
    </font>
    <font>
      <b/>
      <sz val="11"/>
      <color theme="0"/>
      <name val="Calibri"/>
      <family val="2"/>
      <scheme val="minor"/>
    </font>
    <font>
      <u/>
      <sz val="11"/>
      <color theme="10"/>
      <name val="Calibri"/>
      <family val="2"/>
      <scheme val="minor"/>
    </font>
    <font>
      <b/>
      <u/>
      <sz val="11"/>
      <color theme="1"/>
      <name val="Calibri"/>
      <family val="2"/>
      <scheme val="minor"/>
    </font>
    <font>
      <b/>
      <i/>
      <u/>
      <sz val="11"/>
      <color theme="1"/>
      <name val="Calibri"/>
      <family val="2"/>
      <scheme val="minor"/>
    </font>
    <font>
      <b/>
      <sz val="9"/>
      <color indexed="81"/>
      <name val="Segoe UI"/>
      <family val="2"/>
    </font>
    <font>
      <sz val="9"/>
      <color indexed="81"/>
      <name val="Segoe UI"/>
      <family val="2"/>
    </font>
    <font>
      <sz val="11"/>
      <color theme="0"/>
      <name val="Calibri"/>
      <family val="2"/>
      <scheme val="minor"/>
    </font>
    <font>
      <sz val="10"/>
      <color rgb="FF2F2F2F"/>
      <name val="Segoe UI"/>
      <family val="2"/>
    </font>
    <font>
      <vertAlign val="subscript"/>
      <sz val="11"/>
      <color theme="1"/>
      <name val="Calibri"/>
      <family val="2"/>
      <scheme val="minor"/>
    </font>
    <font>
      <u/>
      <sz val="11"/>
      <color theme="0"/>
      <name val="Calibri"/>
      <family val="2"/>
      <scheme val="minor"/>
    </font>
    <font>
      <b/>
      <vertAlign val="superscript"/>
      <sz val="11"/>
      <color theme="0"/>
      <name val="Calibri"/>
      <family val="2"/>
      <scheme val="minor"/>
    </font>
    <font>
      <sz val="11"/>
      <color theme="9"/>
      <name val="Calibri"/>
      <family val="2"/>
      <scheme val="minor"/>
    </font>
    <font>
      <sz val="11"/>
      <color theme="1" tint="0.34998626667073579"/>
      <name val="Calibri"/>
      <family val="2"/>
      <scheme val="minor"/>
    </font>
    <font>
      <sz val="11"/>
      <color theme="5"/>
      <name val="Calibri"/>
      <family val="2"/>
      <scheme val="minor"/>
    </font>
    <font>
      <sz val="11"/>
      <color theme="0" tint="-0.34998626667073579"/>
      <name val="Calibri"/>
      <family val="2"/>
      <scheme val="minor"/>
    </font>
    <font>
      <sz val="11"/>
      <color rgb="FFC00000"/>
      <name val="Calibri"/>
      <family val="2"/>
      <scheme val="minor"/>
    </font>
    <font>
      <sz val="11"/>
      <color rgb="FFFFFF00"/>
      <name val="Calibri"/>
      <family val="2"/>
      <scheme val="minor"/>
    </font>
    <font>
      <sz val="11"/>
      <color theme="4"/>
      <name val="Calibri"/>
      <family val="2"/>
      <scheme val="minor"/>
    </font>
    <font>
      <sz val="11"/>
      <color theme="5" tint="-0.249977111117893"/>
      <name val="Calibri"/>
      <family val="2"/>
      <scheme val="minor"/>
    </font>
    <font>
      <b/>
      <sz val="11"/>
      <color indexed="9"/>
      <name val="Calibri"/>
      <family val="2"/>
      <scheme val="minor"/>
    </font>
    <font>
      <b/>
      <sz val="11"/>
      <color indexed="8"/>
      <name val="Calibri"/>
      <family val="2"/>
      <scheme val="minor"/>
    </font>
    <font>
      <sz val="11"/>
      <color theme="0" tint="-0.14999847407452621"/>
      <name val="Calibri"/>
      <family val="2"/>
      <scheme val="minor"/>
    </font>
    <font>
      <sz val="11"/>
      <color rgb="FF000000"/>
      <name val="Calibri"/>
      <family val="2"/>
    </font>
    <font>
      <b/>
      <sz val="12"/>
      <color theme="0"/>
      <name val="Calibri"/>
      <family val="2"/>
      <scheme val="minor"/>
    </font>
    <font>
      <b/>
      <vertAlign val="subscript"/>
      <sz val="11"/>
      <color theme="0"/>
      <name val="Calibri"/>
      <family val="2"/>
      <scheme val="minor"/>
    </font>
    <font>
      <sz val="11"/>
      <color theme="0" tint="-0.499984740745262"/>
      <name val="Calibri"/>
      <family val="2"/>
      <scheme val="minor"/>
    </font>
    <font>
      <sz val="11"/>
      <color theme="8"/>
      <name val="Calibri"/>
      <family val="2"/>
      <scheme val="minor"/>
    </font>
    <font>
      <sz val="11"/>
      <color theme="7"/>
      <name val="Calibri"/>
      <family val="2"/>
      <scheme val="minor"/>
    </font>
    <font>
      <sz val="11"/>
      <color rgb="FF002060"/>
      <name val="Calibri"/>
      <family val="2"/>
      <scheme val="minor"/>
    </font>
    <font>
      <sz val="11"/>
      <color theme="9" tint="-0.249977111117893"/>
      <name val="Calibri"/>
      <family val="2"/>
      <scheme val="minor"/>
    </font>
    <font>
      <sz val="11"/>
      <color indexed="9"/>
      <name val="Calibri"/>
      <family val="2"/>
      <scheme val="minor"/>
    </font>
    <font>
      <sz val="11"/>
      <color rgb="FF984EA3"/>
      <name val="Calibri"/>
      <family val="2"/>
      <scheme val="minor"/>
    </font>
    <font>
      <sz val="12"/>
      <color rgb="FF333333"/>
      <name val="Helvetica"/>
      <family val="2"/>
    </font>
    <font>
      <b/>
      <sz val="11"/>
      <color rgb="FFFFFFFF"/>
      <name val="Calibri"/>
      <family val="2"/>
      <scheme val="minor"/>
    </font>
    <font>
      <vertAlign val="superscript"/>
      <sz val="11"/>
      <color theme="0"/>
      <name val="Calibri"/>
      <family val="2"/>
      <scheme val="minor"/>
    </font>
    <font>
      <sz val="11"/>
      <color rgb="FF020000"/>
      <name val="Calibri"/>
      <family val="2"/>
      <scheme val="minor"/>
    </font>
    <font>
      <sz val="11"/>
      <color rgb="FFFF7F00"/>
      <name val="Calibri"/>
      <family val="2"/>
      <scheme val="minor"/>
    </font>
    <font>
      <sz val="11"/>
      <color rgb="FF999999"/>
      <name val="Calibri"/>
      <family val="2"/>
      <scheme val="minor"/>
    </font>
    <font>
      <sz val="11"/>
      <color rgb="FF6C8EBF"/>
      <name val="Calibri"/>
      <family val="2"/>
      <scheme val="minor"/>
    </font>
    <font>
      <sz val="11"/>
      <color rgb="FFE41A1C"/>
      <name val="Calibri"/>
      <family val="2"/>
      <scheme val="minor"/>
    </font>
    <font>
      <sz val="11"/>
      <color rgb="FF7030A0"/>
      <name val="Calibri"/>
      <family val="2"/>
      <scheme val="minor"/>
    </font>
    <font>
      <sz val="11"/>
      <color rgb="FF4DAF4A"/>
      <name val="Calibri"/>
      <family val="2"/>
      <scheme val="minor"/>
    </font>
    <font>
      <sz val="11"/>
      <color rgb="FF000000"/>
      <name val="Calibri"/>
      <family val="2"/>
      <scheme val="minor"/>
    </font>
    <font>
      <sz val="11"/>
      <color rgb="FFFF0000"/>
      <name val="Calibri"/>
      <family val="2"/>
      <scheme val="minor"/>
    </font>
    <font>
      <sz val="11"/>
      <color rgb="FFFFFFFF"/>
      <name val="Calibri"/>
      <family val="2"/>
      <scheme val="minor"/>
    </font>
    <font>
      <sz val="8"/>
      <name val="Calibri"/>
      <family val="2"/>
      <scheme val="minor"/>
    </font>
    <font>
      <vertAlign val="subscript"/>
      <sz val="11"/>
      <color rgb="FF6C8EBF"/>
      <name val="Calibri"/>
      <family val="2"/>
      <scheme val="minor"/>
    </font>
    <font>
      <vertAlign val="subscript"/>
      <sz val="11"/>
      <color rgb="FF999999"/>
      <name val="Calibri"/>
      <family val="2"/>
      <scheme val="minor"/>
    </font>
    <font>
      <vertAlign val="subscript"/>
      <sz val="11"/>
      <color rgb="FF7030A0"/>
      <name val="Calibri"/>
      <family val="2"/>
      <scheme val="minor"/>
    </font>
    <font>
      <vertAlign val="subscript"/>
      <sz val="11"/>
      <color rgb="FFE41A1C"/>
      <name val="Calibri"/>
      <family val="2"/>
      <scheme val="minor"/>
    </font>
    <font>
      <b/>
      <sz val="11"/>
      <color rgb="FF1F1F1F"/>
      <name val="Arial"/>
      <family val="2"/>
    </font>
    <font>
      <sz val="11"/>
      <color rgb="FF1F1F1F"/>
      <name val="Arial"/>
      <family val="2"/>
    </font>
  </fonts>
  <fills count="59">
    <fill>
      <patternFill patternType="none"/>
    </fill>
    <fill>
      <patternFill patternType="gray125"/>
    </fill>
    <fill>
      <patternFill patternType="solid">
        <fgColor rgb="FFFFC7CE"/>
      </patternFill>
    </fill>
    <fill>
      <patternFill patternType="solid">
        <fgColor theme="5" tint="0.79998168889431442"/>
        <bgColor indexed="64"/>
      </patternFill>
    </fill>
    <fill>
      <patternFill patternType="solid">
        <fgColor theme="0" tint="-0.14999847407452621"/>
        <bgColor theme="0" tint="-0.14999847407452621"/>
      </patternFill>
    </fill>
    <fill>
      <patternFill patternType="solid">
        <fgColor theme="0"/>
        <bgColor theme="0" tint="-0.14996795556505021"/>
      </patternFill>
    </fill>
    <fill>
      <patternFill patternType="solid">
        <fgColor theme="0"/>
        <bgColor theme="0"/>
      </patternFill>
    </fill>
    <fill>
      <patternFill patternType="solid">
        <fgColor theme="7"/>
        <bgColor indexed="64"/>
      </patternFill>
    </fill>
    <fill>
      <patternFill patternType="solid">
        <fgColor theme="5" tint="-0.249977111117893"/>
        <bgColor indexed="64"/>
      </patternFill>
    </fill>
    <fill>
      <patternFill patternType="solid">
        <fgColor theme="0" tint="-4.9989318521683403E-2"/>
        <bgColor indexed="64"/>
      </patternFill>
    </fill>
    <fill>
      <patternFill patternType="solid">
        <fgColor theme="0"/>
        <bgColor indexed="64"/>
      </patternFill>
    </fill>
    <fill>
      <patternFill patternType="solid">
        <fgColor theme="4" tint="-0.249977111117893"/>
        <bgColor indexed="64"/>
      </patternFill>
    </fill>
    <fill>
      <patternFill patternType="solid">
        <fgColor theme="1"/>
        <bgColor theme="1"/>
      </patternFill>
    </fill>
    <fill>
      <patternFill patternType="solid">
        <fgColor theme="7" tint="0.79998168889431442"/>
        <bgColor indexed="64"/>
      </patternFill>
    </fill>
    <fill>
      <patternFill patternType="solid">
        <fgColor theme="7" tint="-0.249977111117893"/>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39994506668294322"/>
        <bgColor indexed="64"/>
      </patternFill>
    </fill>
    <fill>
      <patternFill patternType="solid">
        <fgColor theme="5" tint="0.39997558519241921"/>
        <bgColor indexed="64"/>
      </patternFill>
    </fill>
    <fill>
      <patternFill patternType="solid">
        <fgColor rgb="FFAA72D4"/>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
      <patternFill patternType="solid">
        <fgColor theme="0"/>
        <bgColor theme="0" tint="-0.14999847407452621"/>
      </patternFill>
    </fill>
    <fill>
      <patternFill patternType="solid">
        <fgColor theme="7" tint="0.39997558519241921"/>
        <bgColor indexed="64"/>
      </patternFill>
    </fill>
    <fill>
      <patternFill patternType="solid">
        <fgColor theme="9"/>
        <bgColor indexed="64"/>
      </patternFill>
    </fill>
    <fill>
      <patternFill patternType="solid">
        <fgColor theme="1"/>
        <bgColor indexed="64"/>
      </patternFill>
    </fill>
    <fill>
      <patternFill patternType="solid">
        <fgColor rgb="FF0070C0"/>
        <bgColor indexed="64"/>
      </patternFill>
    </fill>
    <fill>
      <patternFill patternType="solid">
        <fgColor indexed="9"/>
        <bgColor indexed="64"/>
      </patternFill>
    </fill>
    <fill>
      <patternFill patternType="solid">
        <fgColor rgb="FF002060"/>
        <bgColor indexed="64"/>
      </patternFill>
    </fill>
    <fill>
      <patternFill patternType="solid">
        <fgColor indexed="57"/>
        <bgColor indexed="64"/>
      </patternFill>
    </fill>
    <fill>
      <patternFill patternType="solid">
        <fgColor indexed="28"/>
        <bgColor indexed="64"/>
      </patternFill>
    </fill>
    <fill>
      <patternFill patternType="solid">
        <fgColor indexed="15"/>
        <bgColor indexed="64"/>
      </patternFill>
    </fill>
    <fill>
      <patternFill patternType="solid">
        <fgColor theme="8"/>
        <bgColor indexed="64"/>
      </patternFill>
    </fill>
    <fill>
      <patternFill patternType="solid">
        <fgColor rgb="FFFFF2CC"/>
        <bgColor indexed="64"/>
      </patternFill>
    </fill>
    <fill>
      <patternFill patternType="solid">
        <fgColor rgb="FFBF8F00"/>
        <bgColor indexed="64"/>
      </patternFill>
    </fill>
    <fill>
      <patternFill patternType="solid">
        <fgColor rgb="FF8EA9DB"/>
        <bgColor indexed="64"/>
      </patternFill>
    </fill>
    <fill>
      <patternFill patternType="solid">
        <fgColor indexed="11"/>
        <bgColor indexed="64"/>
      </patternFill>
    </fill>
    <fill>
      <patternFill patternType="solid">
        <fgColor rgb="FFF4B084"/>
        <bgColor indexed="64"/>
      </patternFill>
    </fill>
    <fill>
      <patternFill patternType="solid">
        <fgColor theme="4" tint="0.79998168889431442"/>
        <bgColor theme="4" tint="0.79998168889431442"/>
      </patternFill>
    </fill>
    <fill>
      <patternFill patternType="solid">
        <fgColor theme="4"/>
        <bgColor indexed="64"/>
      </patternFill>
    </fill>
    <fill>
      <patternFill patternType="solid">
        <fgColor theme="0"/>
        <bgColor theme="4" tint="0.79998168889431442"/>
      </patternFill>
    </fill>
    <fill>
      <patternFill patternType="solid">
        <fgColor rgb="FF000000"/>
        <bgColor indexed="64"/>
      </patternFill>
    </fill>
    <fill>
      <patternFill patternType="solid">
        <fgColor rgb="FFFFFFFF"/>
        <bgColor indexed="64"/>
      </patternFill>
    </fill>
    <fill>
      <patternFill patternType="solid">
        <fgColor rgb="FFC9C9C9"/>
        <bgColor indexed="64"/>
      </patternFill>
    </fill>
    <fill>
      <patternFill patternType="solid">
        <fgColor rgb="FFC65911"/>
        <bgColor indexed="64"/>
      </patternFill>
    </fill>
    <fill>
      <patternFill patternType="solid">
        <fgColor rgb="FFA9D08E"/>
        <bgColor indexed="64"/>
      </patternFill>
    </fill>
    <fill>
      <patternFill patternType="solid">
        <fgColor rgb="FF305496"/>
        <bgColor indexed="64"/>
      </patternFill>
    </fill>
    <fill>
      <patternFill patternType="solid">
        <fgColor theme="9" tint="0.39997558519241921"/>
        <bgColor indexed="64"/>
      </patternFill>
    </fill>
    <fill>
      <patternFill patternType="solid">
        <fgColor rgb="FFDA97FF"/>
        <bgColor indexed="64"/>
      </patternFill>
    </fill>
    <fill>
      <patternFill patternType="solid">
        <fgColor rgb="FF5B9BD5"/>
        <bgColor indexed="64"/>
      </patternFill>
    </fill>
    <fill>
      <patternFill patternType="solid">
        <fgColor rgb="FF5B9BD5"/>
        <bgColor theme="1"/>
      </patternFill>
    </fill>
    <fill>
      <patternFill patternType="solid">
        <fgColor theme="9" tint="0.79998168889431442"/>
        <bgColor indexed="64"/>
      </patternFill>
    </fill>
    <fill>
      <patternFill patternType="solid">
        <fgColor indexed="10"/>
        <bgColor indexed="64"/>
      </patternFill>
    </fill>
    <fill>
      <patternFill patternType="solid">
        <fgColor theme="9" tint="0.79998168889431442"/>
        <bgColor theme="9" tint="0.79998168889431442"/>
      </patternFill>
    </fill>
  </fills>
  <borders count="100">
    <border>
      <left/>
      <right/>
      <top/>
      <bottom/>
      <diagonal/>
    </border>
    <border>
      <left style="thin">
        <color theme="1"/>
      </left>
      <right/>
      <top style="thin">
        <color theme="1"/>
      </top>
      <bottom style="thin">
        <color theme="1"/>
      </bottom>
      <diagonal/>
    </border>
    <border>
      <left style="thin">
        <color theme="1"/>
      </left>
      <right/>
      <top style="thin">
        <color theme="1"/>
      </top>
      <bottom/>
      <diagonal/>
    </border>
    <border>
      <left/>
      <right/>
      <top style="thin">
        <color theme="1"/>
      </top>
      <bottom/>
      <diagonal/>
    </border>
    <border>
      <left/>
      <right/>
      <top style="thin">
        <color theme="1"/>
      </top>
      <bottom style="thin">
        <color theme="1"/>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style="thin">
        <color theme="1"/>
      </left>
      <right style="thin">
        <color indexed="64"/>
      </right>
      <top style="thin">
        <color theme="1"/>
      </top>
      <bottom style="thin">
        <color theme="1"/>
      </bottom>
      <diagonal/>
    </border>
    <border>
      <left/>
      <right style="thin">
        <color indexed="64"/>
      </right>
      <top/>
      <bottom style="thin">
        <color indexed="64"/>
      </bottom>
      <diagonal/>
    </border>
    <border>
      <left/>
      <right/>
      <top/>
      <bottom style="thin">
        <color indexed="64"/>
      </bottom>
      <diagonal/>
    </border>
    <border>
      <left style="thick">
        <color indexed="8"/>
      </left>
      <right style="thick">
        <color indexed="8"/>
      </right>
      <top style="thick">
        <color indexed="8"/>
      </top>
      <bottom style="thin">
        <color indexed="64"/>
      </bottom>
      <diagonal/>
    </border>
    <border>
      <left style="thick">
        <color indexed="8"/>
      </left>
      <right style="thick">
        <color indexed="8"/>
      </right>
      <top style="thick">
        <color indexed="8"/>
      </top>
      <bottom style="thick">
        <color indexed="8"/>
      </bottom>
      <diagonal/>
    </border>
    <border>
      <left style="thick">
        <color indexed="8"/>
      </left>
      <right style="thick">
        <color indexed="8"/>
      </right>
      <top style="thin">
        <color indexed="8"/>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theme="1"/>
      </right>
      <top style="thin">
        <color theme="1"/>
      </top>
      <bottom style="thin">
        <color theme="1"/>
      </bottom>
      <diagonal/>
    </border>
    <border>
      <left/>
      <right/>
      <top style="thin">
        <color theme="1"/>
      </top>
      <bottom style="medium">
        <color indexed="64"/>
      </bottom>
      <diagonal/>
    </border>
    <border>
      <left/>
      <right style="thin">
        <color theme="1"/>
      </right>
      <top style="thin">
        <color theme="1"/>
      </top>
      <bottom style="medium">
        <color indexed="64"/>
      </bottom>
      <diagonal/>
    </border>
    <border>
      <left/>
      <right style="thin">
        <color indexed="64"/>
      </right>
      <top style="medium">
        <color indexed="64"/>
      </top>
      <bottom style="thin">
        <color indexed="64"/>
      </bottom>
      <diagonal/>
    </border>
    <border>
      <left style="thin">
        <color theme="1"/>
      </left>
      <right style="thin">
        <color indexed="64"/>
      </right>
      <top style="thin">
        <color theme="1"/>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diagonal/>
    </border>
    <border>
      <left style="medium">
        <color indexed="64"/>
      </left>
      <right style="thin">
        <color indexed="64"/>
      </right>
      <top style="thin">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diagonal/>
    </border>
    <border>
      <left style="medium">
        <color indexed="64"/>
      </left>
      <right style="thin">
        <color indexed="64"/>
      </right>
      <top style="medium">
        <color indexed="64"/>
      </top>
      <bottom/>
      <diagonal/>
    </border>
    <border>
      <left/>
      <right style="medium">
        <color indexed="64"/>
      </right>
      <top style="thin">
        <color indexed="64"/>
      </top>
      <bottom/>
      <diagonal/>
    </border>
    <border>
      <left style="medium">
        <color indexed="64"/>
      </left>
      <right style="thin">
        <color indexed="64"/>
      </right>
      <top/>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theme="1"/>
      </bottom>
      <diagonal/>
    </border>
    <border>
      <left style="thin">
        <color theme="1"/>
      </left>
      <right style="thin">
        <color indexed="64"/>
      </right>
      <top style="medium">
        <color indexed="64"/>
      </top>
      <bottom style="thin">
        <color theme="1"/>
      </bottom>
      <diagonal/>
    </border>
    <border>
      <left style="medium">
        <color indexed="64"/>
      </left>
      <right style="thin">
        <color indexed="64"/>
      </right>
      <top style="thin">
        <color theme="1"/>
      </top>
      <bottom style="thin">
        <color theme="1"/>
      </bottom>
      <diagonal/>
    </border>
    <border>
      <left style="medium">
        <color indexed="64"/>
      </left>
      <right style="thin">
        <color indexed="64"/>
      </right>
      <top style="thin">
        <color theme="1"/>
      </top>
      <bottom style="medium">
        <color indexed="64"/>
      </bottom>
      <diagonal/>
    </border>
    <border>
      <left style="medium">
        <color indexed="64"/>
      </left>
      <right/>
      <top style="medium">
        <color indexed="64"/>
      </top>
      <bottom style="thin">
        <color theme="1"/>
      </bottom>
      <diagonal/>
    </border>
    <border>
      <left style="medium">
        <color indexed="64"/>
      </left>
      <right/>
      <top style="thin">
        <color theme="1"/>
      </top>
      <bottom style="thin">
        <color theme="1"/>
      </bottom>
      <diagonal/>
    </border>
    <border>
      <left style="medium">
        <color indexed="64"/>
      </left>
      <right/>
      <top style="thin">
        <color theme="1"/>
      </top>
      <bottom style="medium">
        <color indexed="64"/>
      </bottom>
      <diagonal/>
    </border>
    <border>
      <left/>
      <right style="medium">
        <color indexed="64"/>
      </right>
      <top style="thin">
        <color theme="1"/>
      </top>
      <bottom style="thin">
        <color theme="1"/>
      </bottom>
      <diagonal/>
    </border>
    <border>
      <left/>
      <right style="medium">
        <color indexed="64"/>
      </right>
      <top style="thin">
        <color theme="1"/>
      </top>
      <bottom style="medium">
        <color indexed="64"/>
      </bottom>
      <diagonal/>
    </border>
    <border>
      <left style="thin">
        <color theme="1"/>
      </left>
      <right/>
      <top style="medium">
        <color indexed="64"/>
      </top>
      <bottom style="thin">
        <color theme="1"/>
      </bottom>
      <diagonal/>
    </border>
    <border>
      <left style="thin">
        <color theme="1"/>
      </left>
      <right/>
      <top style="thin">
        <color theme="1"/>
      </top>
      <bottom style="medium">
        <color indexed="64"/>
      </bottom>
      <diagonal/>
    </border>
    <border>
      <left/>
      <right style="medium">
        <color indexed="64"/>
      </right>
      <top/>
      <bottom style="thin">
        <color theme="1"/>
      </bottom>
      <diagonal/>
    </border>
    <border>
      <left style="thin">
        <color indexed="64"/>
      </left>
      <right/>
      <top style="thin">
        <color indexed="64"/>
      </top>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style="thin">
        <color indexed="8"/>
      </right>
      <top/>
      <bottom style="medium">
        <color indexed="64"/>
      </bottom>
      <diagonal/>
    </border>
    <border>
      <left style="thin">
        <color indexed="8"/>
      </left>
      <right style="medium">
        <color indexed="64"/>
      </right>
      <top/>
      <bottom style="medium">
        <color indexed="64"/>
      </bottom>
      <diagonal/>
    </border>
    <border>
      <left style="thin">
        <color indexed="64"/>
      </left>
      <right style="thin">
        <color indexed="64"/>
      </right>
      <top style="thin">
        <color indexed="64"/>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style="thin">
        <color theme="1"/>
      </top>
      <bottom style="thin">
        <color indexed="64"/>
      </bottom>
      <diagonal/>
    </border>
    <border>
      <left style="thin">
        <color indexed="64"/>
      </left>
      <right/>
      <top/>
      <bottom style="thin">
        <color indexed="64"/>
      </bottom>
      <diagonal/>
    </border>
    <border>
      <left/>
      <right/>
      <top style="thin">
        <color indexed="64"/>
      </top>
      <bottom/>
      <diagonal/>
    </border>
    <border>
      <left style="thin">
        <color indexed="64"/>
      </left>
      <right/>
      <top/>
      <bottom/>
      <diagonal/>
    </border>
  </borders>
  <cellStyleXfs count="4">
    <xf numFmtId="0" fontId="0" fillId="0" borderId="0"/>
    <xf numFmtId="164" fontId="1" fillId="0" borderId="0" applyFont="0" applyFill="0" applyBorder="0" applyAlignment="0" applyProtection="0"/>
    <xf numFmtId="0" fontId="2" fillId="2" borderId="0" applyNumberFormat="0" applyBorder="0" applyAlignment="0" applyProtection="0"/>
    <xf numFmtId="0" fontId="12" fillId="0" borderId="0" applyNumberFormat="0" applyFill="0" applyBorder="0" applyAlignment="0" applyProtection="0"/>
  </cellStyleXfs>
  <cellXfs count="865">
    <xf numFmtId="0" fontId="0" fillId="0" borderId="0" xfId="0"/>
    <xf numFmtId="0" fontId="0" fillId="0" borderId="0" xfId="0" applyAlignment="1">
      <alignment horizontal="left" vertical="top" wrapText="1"/>
    </xf>
    <xf numFmtId="49" fontId="0" fillId="0" borderId="0" xfId="0" applyNumberFormat="1" applyAlignment="1">
      <alignment horizontal="left" vertical="top" wrapText="1"/>
    </xf>
    <xf numFmtId="0" fontId="4" fillId="3" borderId="0" xfId="0" applyFont="1" applyFill="1" applyAlignment="1">
      <alignment horizontal="left" vertical="top" wrapText="1"/>
    </xf>
    <xf numFmtId="0" fontId="0" fillId="0" borderId="0" xfId="0" applyAlignment="1">
      <alignment vertical="top" wrapText="1"/>
    </xf>
    <xf numFmtId="0" fontId="0" fillId="0" borderId="0" xfId="0" applyAlignment="1">
      <alignment horizontal="center" vertical="top" wrapText="1"/>
    </xf>
    <xf numFmtId="0" fontId="0" fillId="0" borderId="0" xfId="0" applyAlignment="1">
      <alignment wrapText="1"/>
    </xf>
    <xf numFmtId="0" fontId="0" fillId="0" borderId="0" xfId="0" applyAlignment="1">
      <alignment horizontal="right" vertical="top" wrapText="1"/>
    </xf>
    <xf numFmtId="1" fontId="0" fillId="0" borderId="0" xfId="0" applyNumberFormat="1" applyAlignment="1">
      <alignment horizontal="right" vertical="top" wrapText="1"/>
    </xf>
    <xf numFmtId="49" fontId="0" fillId="0" borderId="0" xfId="0" applyNumberFormat="1" applyAlignment="1">
      <alignment vertical="top" wrapText="1"/>
    </xf>
    <xf numFmtId="0" fontId="0" fillId="0" borderId="0" xfId="0" applyAlignment="1">
      <alignment horizontal="center" vertical="center" wrapText="1"/>
    </xf>
    <xf numFmtId="0" fontId="0" fillId="3" borderId="0" xfId="0" applyFill="1" applyAlignment="1">
      <alignment horizontal="center" vertical="top" wrapText="1"/>
    </xf>
    <xf numFmtId="2" fontId="0" fillId="0" borderId="0" xfId="0" applyNumberFormat="1" applyAlignment="1">
      <alignment horizontal="right" vertical="top" wrapText="1"/>
    </xf>
    <xf numFmtId="2" fontId="0" fillId="0" borderId="0" xfId="0" applyNumberFormat="1" applyAlignment="1">
      <alignment vertical="top" wrapText="1"/>
    </xf>
    <xf numFmtId="4" fontId="0" fillId="0" borderId="0" xfId="0" applyNumberFormat="1" applyAlignment="1">
      <alignment horizontal="right" vertical="top" wrapText="1"/>
    </xf>
    <xf numFmtId="0" fontId="3" fillId="0" borderId="0" xfId="0" applyFont="1" applyAlignment="1">
      <alignment horizontal="right" vertical="top" wrapText="1"/>
    </xf>
    <xf numFmtId="0" fontId="3" fillId="0" borderId="0" xfId="0" applyFont="1" applyAlignment="1">
      <alignment vertical="top" wrapText="1"/>
    </xf>
    <xf numFmtId="0" fontId="2" fillId="2" borderId="0" xfId="2" applyAlignment="1">
      <alignment vertical="top" wrapText="1"/>
    </xf>
    <xf numFmtId="167" fontId="0" fillId="0" borderId="0" xfId="0" applyNumberFormat="1" applyAlignment="1">
      <alignment horizontal="right" vertical="top" wrapText="1"/>
    </xf>
    <xf numFmtId="0" fontId="0" fillId="0" borderId="1" xfId="0" applyBorder="1" applyAlignment="1">
      <alignment vertical="top" wrapText="1"/>
    </xf>
    <xf numFmtId="0" fontId="0" fillId="4" borderId="1" xfId="0" applyFill="1" applyBorder="1" applyAlignment="1">
      <alignment vertical="top" wrapText="1"/>
    </xf>
    <xf numFmtId="0" fontId="0" fillId="4" borderId="2" xfId="0" applyFill="1" applyBorder="1" applyAlignment="1">
      <alignment vertical="top" wrapText="1"/>
    </xf>
    <xf numFmtId="0" fontId="0" fillId="4" borderId="3" xfId="0" applyFill="1" applyBorder="1" applyAlignment="1">
      <alignment horizontal="center" vertical="center" wrapText="1"/>
    </xf>
    <xf numFmtId="0" fontId="0" fillId="4" borderId="0" xfId="0" applyFill="1" applyAlignment="1">
      <alignment vertical="top" wrapText="1"/>
    </xf>
    <xf numFmtId="0" fontId="0" fillId="4" borderId="0" xfId="0" applyFill="1" applyAlignment="1">
      <alignment horizontal="center" vertical="top" wrapText="1"/>
    </xf>
    <xf numFmtId="164" fontId="0" fillId="0" borderId="0" xfId="1" applyFont="1" applyAlignment="1">
      <alignment vertical="top" wrapText="1"/>
    </xf>
    <xf numFmtId="49" fontId="0" fillId="0" borderId="0" xfId="0" applyNumberFormat="1" applyAlignment="1">
      <alignment horizontal="right" vertical="top" wrapText="1"/>
    </xf>
    <xf numFmtId="0" fontId="0" fillId="0" borderId="3" xfId="0" applyBorder="1" applyAlignment="1">
      <alignment vertical="top" wrapText="1"/>
    </xf>
    <xf numFmtId="164" fontId="0" fillId="0" borderId="0" xfId="1" applyFont="1" applyBorder="1" applyAlignment="1">
      <alignment vertical="top" wrapText="1"/>
    </xf>
    <xf numFmtId="0" fontId="0" fillId="6" borderId="3" xfId="0" applyFill="1" applyBorder="1" applyAlignment="1">
      <alignment vertical="top" wrapText="1"/>
    </xf>
    <xf numFmtId="0" fontId="0" fillId="5" borderId="3" xfId="0" applyFill="1" applyBorder="1" applyAlignment="1">
      <alignment vertical="top" wrapText="1"/>
    </xf>
    <xf numFmtId="0" fontId="0" fillId="5" borderId="3" xfId="0" applyFill="1" applyBorder="1" applyAlignment="1">
      <alignment horizontal="center" vertical="top" wrapText="1"/>
    </xf>
    <xf numFmtId="0" fontId="0" fillId="11" borderId="0" xfId="0" applyFill="1"/>
    <xf numFmtId="0" fontId="6" fillId="11" borderId="0" xfId="0" applyFont="1" applyFill="1"/>
    <xf numFmtId="0" fontId="0" fillId="7" borderId="0" xfId="0" applyFill="1"/>
    <xf numFmtId="0" fontId="6" fillId="7" borderId="0" xfId="0" applyFont="1" applyFill="1"/>
    <xf numFmtId="0" fontId="7" fillId="10" borderId="0" xfId="0" applyFont="1" applyFill="1"/>
    <xf numFmtId="0" fontId="0" fillId="10" borderId="0" xfId="0" applyFill="1"/>
    <xf numFmtId="0" fontId="9" fillId="10" borderId="0" xfId="0" applyFont="1" applyFill="1"/>
    <xf numFmtId="0" fontId="0" fillId="0" borderId="0" xfId="0" applyAlignment="1">
      <alignment vertical="top"/>
    </xf>
    <xf numFmtId="0" fontId="11" fillId="12" borderId="4" xfId="0" applyFont="1" applyFill="1" applyBorder="1"/>
    <xf numFmtId="0" fontId="11" fillId="12" borderId="0" xfId="0" applyFont="1" applyFill="1"/>
    <xf numFmtId="0" fontId="0" fillId="13" borderId="0" xfId="0" applyFill="1"/>
    <xf numFmtId="166" fontId="0" fillId="0" borderId="0" xfId="0" applyNumberFormat="1"/>
    <xf numFmtId="20" fontId="0" fillId="0" borderId="0" xfId="0" applyNumberFormat="1"/>
    <xf numFmtId="2" fontId="0" fillId="0" borderId="0" xfId="0" applyNumberFormat="1" applyAlignment="1">
      <alignment horizontal="right" vertical="top"/>
    </xf>
    <xf numFmtId="0" fontId="17" fillId="11" borderId="7" xfId="0" applyFont="1" applyFill="1" applyBorder="1" applyAlignment="1">
      <alignment vertical="center"/>
    </xf>
    <xf numFmtId="0" fontId="17" fillId="11" borderId="6" xfId="0" applyFont="1" applyFill="1" applyBorder="1" applyAlignment="1">
      <alignment vertical="center"/>
    </xf>
    <xf numFmtId="0" fontId="17" fillId="11" borderId="5" xfId="0" applyFont="1" applyFill="1" applyBorder="1" applyAlignment="1">
      <alignment vertical="center"/>
    </xf>
    <xf numFmtId="2" fontId="0" fillId="11" borderId="0" xfId="0" applyNumberFormat="1" applyFill="1"/>
    <xf numFmtId="0" fontId="12" fillId="11" borderId="0" xfId="3" applyFill="1"/>
    <xf numFmtId="0" fontId="0" fillId="22" borderId="12" xfId="0" applyFill="1" applyBorder="1" applyAlignment="1">
      <alignment horizontal="justify" vertical="top"/>
    </xf>
    <xf numFmtId="0" fontId="0" fillId="22" borderId="8" xfId="0" applyFill="1" applyBorder="1" applyAlignment="1">
      <alignment horizontal="justify" vertical="top"/>
    </xf>
    <xf numFmtId="0" fontId="0" fillId="24" borderId="12" xfId="0" applyFill="1" applyBorder="1" applyAlignment="1">
      <alignment horizontal="justify" vertical="top"/>
    </xf>
    <xf numFmtId="0" fontId="0" fillId="24" borderId="8" xfId="0" applyFill="1" applyBorder="1" applyAlignment="1">
      <alignment horizontal="justify" vertical="top"/>
    </xf>
    <xf numFmtId="2" fontId="0" fillId="0" borderId="0" xfId="0" applyNumberFormat="1" applyAlignment="1">
      <alignment horizontal="left" vertical="top" wrapText="1"/>
    </xf>
    <xf numFmtId="2" fontId="0" fillId="0" borderId="0" xfId="0" applyNumberFormat="1"/>
    <xf numFmtId="0" fontId="0" fillId="25" borderId="0" xfId="0" applyFill="1"/>
    <xf numFmtId="0" fontId="17" fillId="11" borderId="14" xfId="0" applyFont="1" applyFill="1" applyBorder="1" applyAlignment="1">
      <alignment vertical="center"/>
    </xf>
    <xf numFmtId="0" fontId="17" fillId="10" borderId="0" xfId="0" applyFont="1" applyFill="1"/>
    <xf numFmtId="0" fontId="0" fillId="11" borderId="0" xfId="0" applyFill="1" applyAlignment="1">
      <alignment horizontal="center"/>
    </xf>
    <xf numFmtId="0" fontId="0" fillId="26" borderId="0" xfId="0" applyFill="1"/>
    <xf numFmtId="0" fontId="0" fillId="0" borderId="0" xfId="0" applyAlignment="1">
      <alignment horizontal="justify" vertical="top" wrapText="1"/>
    </xf>
    <xf numFmtId="166" fontId="0" fillId="13" borderId="0" xfId="0" applyNumberFormat="1" applyFill="1"/>
    <xf numFmtId="166" fontId="0" fillId="0" borderId="0" xfId="0" applyNumberFormat="1" applyAlignment="1">
      <alignment horizontal="right" vertical="top" wrapText="1"/>
    </xf>
    <xf numFmtId="2" fontId="0" fillId="0" borderId="0" xfId="0" applyNumberFormat="1" applyAlignment="1">
      <alignment horizontal="justify" vertical="top" wrapText="1"/>
    </xf>
    <xf numFmtId="0" fontId="0" fillId="21" borderId="12" xfId="0" applyFill="1" applyBorder="1" applyAlignment="1">
      <alignment horizontal="justify" vertical="top"/>
    </xf>
    <xf numFmtId="0" fontId="0" fillId="27" borderId="3" xfId="0" applyFill="1" applyBorder="1" applyAlignment="1">
      <alignment horizontal="center" vertical="center" wrapText="1"/>
    </xf>
    <xf numFmtId="0" fontId="17" fillId="0" borderId="0" xfId="0" applyFont="1" applyAlignment="1">
      <alignment vertical="center"/>
    </xf>
    <xf numFmtId="0" fontId="20" fillId="11" borderId="0" xfId="3" applyFont="1" applyFill="1"/>
    <xf numFmtId="0" fontId="0" fillId="0" borderId="0" xfId="0" applyAlignment="1" applyProtection="1">
      <alignment horizontal="left" vertical="top" wrapText="1"/>
      <protection locked="0"/>
    </xf>
    <xf numFmtId="0" fontId="6" fillId="28" borderId="0" xfId="0" applyFont="1" applyFill="1"/>
    <xf numFmtId="0" fontId="0" fillId="28" borderId="0" xfId="0" applyFill="1"/>
    <xf numFmtId="0" fontId="0" fillId="28" borderId="0" xfId="0" applyFill="1" applyAlignment="1">
      <alignment vertical="top"/>
    </xf>
    <xf numFmtId="166" fontId="0" fillId="0" borderId="0" xfId="0" applyNumberFormat="1" applyAlignment="1">
      <alignment horizontal="right" vertical="top"/>
    </xf>
    <xf numFmtId="0" fontId="8" fillId="11" borderId="0" xfId="0" applyFont="1" applyFill="1" applyAlignment="1">
      <alignment vertical="top"/>
    </xf>
    <xf numFmtId="0" fontId="8" fillId="7" borderId="0" xfId="0" applyFont="1" applyFill="1" applyAlignment="1">
      <alignment vertical="top"/>
    </xf>
    <xf numFmtId="0" fontId="8" fillId="25" borderId="0" xfId="0" applyFont="1" applyFill="1" applyAlignment="1">
      <alignment vertical="top"/>
    </xf>
    <xf numFmtId="0" fontId="8" fillId="26" borderId="0" xfId="0" applyFont="1" applyFill="1" applyAlignment="1">
      <alignment vertical="top"/>
    </xf>
    <xf numFmtId="0" fontId="18" fillId="10" borderId="0" xfId="0" applyFont="1" applyFill="1"/>
    <xf numFmtId="0" fontId="8" fillId="10" borderId="0" xfId="0" applyFont="1" applyFill="1"/>
    <xf numFmtId="0" fontId="3" fillId="10" borderId="0" xfId="0" applyFont="1" applyFill="1"/>
    <xf numFmtId="165" fontId="0" fillId="4" borderId="15" xfId="0" applyNumberFormat="1" applyFill="1" applyBorder="1"/>
    <xf numFmtId="165" fontId="0" fillId="0" borderId="15" xfId="0" applyNumberFormat="1" applyBorder="1"/>
    <xf numFmtId="0" fontId="0" fillId="0" borderId="8" xfId="0" applyBorder="1"/>
    <xf numFmtId="0" fontId="0" fillId="24" borderId="8" xfId="0" applyFill="1" applyBorder="1"/>
    <xf numFmtId="165" fontId="0" fillId="0" borderId="0" xfId="0" applyNumberFormat="1"/>
    <xf numFmtId="0" fontId="13" fillId="10" borderId="0" xfId="0" applyFont="1" applyFill="1"/>
    <xf numFmtId="0" fontId="0" fillId="10" borderId="8" xfId="0" applyFill="1" applyBorder="1"/>
    <xf numFmtId="0" fontId="11" fillId="31" borderId="0" xfId="0" applyFont="1" applyFill="1"/>
    <xf numFmtId="0" fontId="0" fillId="24" borderId="0" xfId="0" applyFill="1"/>
    <xf numFmtId="0" fontId="11" fillId="31" borderId="0" xfId="0" applyFont="1" applyFill="1" applyAlignment="1">
      <alignment horizontal="center"/>
    </xf>
    <xf numFmtId="0" fontId="11" fillId="11" borderId="0" xfId="0" applyFont="1" applyFill="1" applyAlignment="1">
      <alignment vertical="center"/>
    </xf>
    <xf numFmtId="0" fontId="17" fillId="0" borderId="0" xfId="3" applyFont="1" applyAlignment="1">
      <alignment vertical="top" wrapText="1"/>
    </xf>
    <xf numFmtId="0" fontId="0" fillId="27" borderId="1" xfId="0" applyFill="1" applyBorder="1" applyAlignment="1">
      <alignment vertical="top" wrapText="1"/>
    </xf>
    <xf numFmtId="0" fontId="0" fillId="32" borderId="0" xfId="0" applyFill="1"/>
    <xf numFmtId="0" fontId="31" fillId="10" borderId="0" xfId="0" applyFont="1" applyFill="1" applyAlignment="1">
      <alignment horizontal="center" vertical="center"/>
    </xf>
    <xf numFmtId="0" fontId="0" fillId="10" borderId="0" xfId="0" applyFill="1" applyAlignment="1">
      <alignment horizontal="center" vertical="center"/>
    </xf>
    <xf numFmtId="0" fontId="30" fillId="10" borderId="0" xfId="0" applyFont="1" applyFill="1" applyAlignment="1">
      <alignment horizontal="center" vertical="center" wrapText="1"/>
    </xf>
    <xf numFmtId="2" fontId="0" fillId="10" borderId="0" xfId="0" applyNumberFormat="1" applyFill="1"/>
    <xf numFmtId="0" fontId="0" fillId="32" borderId="0" xfId="0" applyFill="1" applyProtection="1">
      <protection locked="0"/>
    </xf>
    <xf numFmtId="0" fontId="0" fillId="0" borderId="0" xfId="0" applyProtection="1">
      <protection locked="0"/>
    </xf>
    <xf numFmtId="0" fontId="0" fillId="10" borderId="22" xfId="0" applyFill="1" applyBorder="1" applyAlignment="1">
      <alignment horizontal="center"/>
    </xf>
    <xf numFmtId="0" fontId="0" fillId="24" borderId="22" xfId="0" applyFill="1" applyBorder="1" applyAlignment="1">
      <alignment horizontal="center"/>
    </xf>
    <xf numFmtId="0" fontId="0" fillId="0" borderId="27" xfId="0" applyBorder="1"/>
    <xf numFmtId="0" fontId="0" fillId="24" borderId="27" xfId="0" applyFill="1" applyBorder="1"/>
    <xf numFmtId="0" fontId="0" fillId="10" borderId="27" xfId="0" applyFill="1" applyBorder="1"/>
    <xf numFmtId="0" fontId="0" fillId="10" borderId="0" xfId="0" applyFill="1" applyProtection="1">
      <protection locked="0"/>
    </xf>
    <xf numFmtId="2" fontId="0" fillId="10" borderId="0" xfId="0" applyNumberFormat="1" applyFill="1" applyProtection="1">
      <protection locked="0"/>
    </xf>
    <xf numFmtId="2" fontId="0" fillId="9" borderId="0" xfId="0" applyNumberFormat="1" applyFill="1" applyAlignment="1" applyProtection="1">
      <alignment horizontal="right"/>
      <protection locked="0"/>
    </xf>
    <xf numFmtId="1" fontId="0" fillId="9" borderId="0" xfId="0" applyNumberFormat="1" applyFill="1" applyAlignment="1" applyProtection="1">
      <alignment horizontal="right"/>
      <protection locked="0"/>
    </xf>
    <xf numFmtId="49" fontId="0" fillId="10" borderId="0" xfId="0" applyNumberFormat="1" applyFill="1" applyProtection="1">
      <protection locked="0"/>
    </xf>
    <xf numFmtId="1" fontId="0" fillId="10" borderId="0" xfId="0" applyNumberFormat="1" applyFill="1" applyAlignment="1" applyProtection="1">
      <alignment horizontal="right"/>
      <protection locked="0"/>
    </xf>
    <xf numFmtId="2" fontId="0" fillId="10" borderId="0" xfId="0" applyNumberFormat="1" applyFill="1" applyAlignment="1" applyProtection="1">
      <alignment horizontal="right"/>
      <protection locked="0"/>
    </xf>
    <xf numFmtId="0" fontId="0" fillId="10" borderId="0" xfId="0" applyFill="1" applyAlignment="1" applyProtection="1">
      <alignment horizontal="right"/>
      <protection locked="0"/>
    </xf>
    <xf numFmtId="2" fontId="0" fillId="24" borderId="8" xfId="0" applyNumberFormat="1" applyFill="1" applyBorder="1" applyAlignment="1">
      <alignment horizontal="center"/>
    </xf>
    <xf numFmtId="2" fontId="0" fillId="10" borderId="10" xfId="0" applyNumberFormat="1" applyFill="1" applyBorder="1" applyAlignment="1">
      <alignment horizontal="center"/>
    </xf>
    <xf numFmtId="2" fontId="0" fillId="24" borderId="10" xfId="0" applyNumberFormat="1" applyFill="1" applyBorder="1" applyAlignment="1">
      <alignment horizontal="center"/>
    </xf>
    <xf numFmtId="2" fontId="0" fillId="0" borderId="8" xfId="0" applyNumberFormat="1" applyBorder="1" applyAlignment="1">
      <alignment horizontal="center"/>
    </xf>
    <xf numFmtId="0" fontId="11" fillId="12" borderId="2" xfId="0" applyFont="1" applyFill="1" applyBorder="1"/>
    <xf numFmtId="0" fontId="0" fillId="24" borderId="0" xfId="0" applyFill="1" applyProtection="1">
      <protection locked="0"/>
    </xf>
    <xf numFmtId="0" fontId="0" fillId="38" borderId="0" xfId="0" applyFill="1"/>
    <xf numFmtId="166" fontId="0" fillId="38" borderId="0" xfId="0" applyNumberFormat="1" applyFill="1"/>
    <xf numFmtId="0" fontId="11" fillId="30" borderId="8" xfId="0" applyFont="1" applyFill="1" applyBorder="1"/>
    <xf numFmtId="0" fontId="0" fillId="10" borderId="25" xfId="0" applyFill="1" applyBorder="1"/>
    <xf numFmtId="0" fontId="0" fillId="10" borderId="31" xfId="0" applyFill="1" applyBorder="1"/>
    <xf numFmtId="0" fontId="12" fillId="10" borderId="0" xfId="3" applyFill="1"/>
    <xf numFmtId="0" fontId="3" fillId="10" borderId="0" xfId="0" applyFont="1" applyFill="1" applyAlignment="1">
      <alignment horizontal="center"/>
    </xf>
    <xf numFmtId="0" fontId="11" fillId="12" borderId="1" xfId="0" applyFont="1" applyFill="1" applyBorder="1"/>
    <xf numFmtId="0" fontId="11" fillId="12" borderId="34" xfId="0" applyFont="1" applyFill="1" applyBorder="1"/>
    <xf numFmtId="0" fontId="0" fillId="30" borderId="0" xfId="0" applyFill="1"/>
    <xf numFmtId="166" fontId="0" fillId="30" borderId="0" xfId="0" applyNumberFormat="1" applyFill="1"/>
    <xf numFmtId="0" fontId="3" fillId="0" borderId="16" xfId="0" applyFont="1" applyBorder="1"/>
    <xf numFmtId="20" fontId="0" fillId="0" borderId="0" xfId="0" applyNumberFormat="1" applyAlignment="1">
      <alignment horizontal="center"/>
    </xf>
    <xf numFmtId="20" fontId="0" fillId="4" borderId="15" xfId="0" applyNumberFormat="1" applyFill="1" applyBorder="1" applyAlignment="1">
      <alignment horizontal="center"/>
    </xf>
    <xf numFmtId="20" fontId="0" fillId="0" borderId="15" xfId="0" applyNumberFormat="1" applyBorder="1" applyAlignment="1">
      <alignment horizontal="center"/>
    </xf>
    <xf numFmtId="20" fontId="0" fillId="0" borderId="38" xfId="0" applyNumberFormat="1" applyBorder="1" applyAlignment="1">
      <alignment horizontal="center"/>
    </xf>
    <xf numFmtId="0" fontId="0" fillId="10" borderId="0" xfId="0" applyFill="1" applyAlignment="1">
      <alignment horizontal="centerContinuous" vertical="top"/>
    </xf>
    <xf numFmtId="166" fontId="0" fillId="10" borderId="0" xfId="0" applyNumberFormat="1" applyFill="1"/>
    <xf numFmtId="166" fontId="5" fillId="10" borderId="0" xfId="0" applyNumberFormat="1" applyFont="1" applyFill="1"/>
    <xf numFmtId="166" fontId="3" fillId="10" borderId="0" xfId="0" applyNumberFormat="1" applyFont="1" applyFill="1"/>
    <xf numFmtId="4" fontId="0" fillId="10" borderId="0" xfId="0" applyNumberFormat="1" applyFill="1"/>
    <xf numFmtId="0" fontId="17" fillId="10" borderId="0" xfId="3" applyFont="1" applyFill="1" applyAlignment="1">
      <alignment vertical="top" wrapText="1"/>
    </xf>
    <xf numFmtId="166" fontId="0" fillId="10" borderId="0" xfId="0" quotePrefix="1" applyNumberFormat="1" applyFill="1"/>
    <xf numFmtId="0" fontId="0" fillId="0" borderId="11" xfId="0" applyBorder="1" applyAlignment="1">
      <alignment horizontal="center" vertical="top" wrapText="1"/>
    </xf>
    <xf numFmtId="0" fontId="0" fillId="20" borderId="8" xfId="0" applyFill="1" applyBorder="1" applyAlignment="1">
      <alignment horizontal="justify" vertical="top"/>
    </xf>
    <xf numFmtId="0" fontId="0" fillId="20" borderId="12" xfId="0" applyFill="1" applyBorder="1" applyAlignment="1">
      <alignment horizontal="justify" vertical="top"/>
    </xf>
    <xf numFmtId="0" fontId="0" fillId="20" borderId="8" xfId="0" applyFill="1" applyBorder="1" applyAlignment="1">
      <alignment vertical="top"/>
    </xf>
    <xf numFmtId="0" fontId="0" fillId="20" borderId="13" xfId="0" applyFill="1" applyBorder="1" applyAlignment="1">
      <alignment horizontal="justify" vertical="top"/>
    </xf>
    <xf numFmtId="0" fontId="0" fillId="21" borderId="8" xfId="0" applyFill="1" applyBorder="1" applyAlignment="1">
      <alignment horizontal="justify" vertical="top"/>
    </xf>
    <xf numFmtId="0" fontId="0" fillId="23" borderId="8" xfId="0" applyFill="1" applyBorder="1" applyAlignment="1">
      <alignment horizontal="justify" vertical="top"/>
    </xf>
    <xf numFmtId="0" fontId="0" fillId="23" borderId="12" xfId="0" applyFill="1" applyBorder="1" applyAlignment="1">
      <alignment horizontal="justify" vertical="top"/>
    </xf>
    <xf numFmtId="0" fontId="34" fillId="11" borderId="6" xfId="0" applyFont="1" applyFill="1" applyBorder="1" applyAlignment="1">
      <alignment horizontal="center" vertical="center" wrapText="1"/>
    </xf>
    <xf numFmtId="0" fontId="0" fillId="20" borderId="39" xfId="0" applyFill="1" applyBorder="1" applyAlignment="1">
      <alignment horizontal="left" vertical="top" wrapText="1"/>
    </xf>
    <xf numFmtId="0" fontId="0" fillId="20" borderId="40" xfId="0" applyFill="1" applyBorder="1" applyAlignment="1">
      <alignment horizontal="center" vertical="center"/>
    </xf>
    <xf numFmtId="0" fontId="0" fillId="20" borderId="25" xfId="0" applyFill="1" applyBorder="1" applyAlignment="1">
      <alignment horizontal="justify" vertical="top" wrapText="1"/>
    </xf>
    <xf numFmtId="0" fontId="0" fillId="20" borderId="28" xfId="0" applyFill="1" applyBorder="1" applyAlignment="1">
      <alignment horizontal="center" vertical="center"/>
    </xf>
    <xf numFmtId="0" fontId="0" fillId="20" borderId="39" xfId="0" applyFill="1" applyBorder="1" applyAlignment="1">
      <alignment horizontal="justify" vertical="top"/>
    </xf>
    <xf numFmtId="0" fontId="0" fillId="20" borderId="25" xfId="0" applyFill="1" applyBorder="1" applyAlignment="1">
      <alignment horizontal="left" vertical="top" wrapText="1"/>
    </xf>
    <xf numFmtId="0" fontId="0" fillId="20" borderId="39" xfId="0" applyFill="1" applyBorder="1" applyAlignment="1">
      <alignment horizontal="justify" vertical="top" wrapText="1"/>
    </xf>
    <xf numFmtId="0" fontId="0" fillId="20" borderId="25" xfId="0" applyFill="1" applyBorder="1" applyAlignment="1">
      <alignment horizontal="justify" vertical="top"/>
    </xf>
    <xf numFmtId="0" fontId="0" fillId="20" borderId="42" xfId="0" applyFill="1" applyBorder="1" applyAlignment="1">
      <alignment horizontal="justify" vertical="top"/>
    </xf>
    <xf numFmtId="0" fontId="0" fillId="20" borderId="45" xfId="0" applyFill="1" applyBorder="1" applyAlignment="1">
      <alignment horizontal="justify" vertical="top"/>
    </xf>
    <xf numFmtId="0" fontId="0" fillId="20" borderId="46" xfId="0" applyFill="1" applyBorder="1" applyAlignment="1">
      <alignment horizontal="center" vertical="center"/>
    </xf>
    <xf numFmtId="0" fontId="0" fillId="20" borderId="44" xfId="0" applyFill="1" applyBorder="1" applyAlignment="1">
      <alignment horizontal="justify" vertical="top" wrapText="1"/>
    </xf>
    <xf numFmtId="0" fontId="0" fillId="20" borderId="47" xfId="0" applyFill="1" applyBorder="1" applyAlignment="1">
      <alignment horizontal="center" vertical="center"/>
    </xf>
    <xf numFmtId="0" fontId="0" fillId="22" borderId="23" xfId="0" applyFill="1" applyBorder="1" applyAlignment="1">
      <alignment horizontal="justify" vertical="top" wrapText="1"/>
    </xf>
    <xf numFmtId="0" fontId="0" fillId="22" borderId="48" xfId="0" applyFill="1" applyBorder="1" applyAlignment="1">
      <alignment horizontal="justify" vertical="top"/>
    </xf>
    <xf numFmtId="0" fontId="0" fillId="22" borderId="24" xfId="0" applyFill="1" applyBorder="1" applyAlignment="1">
      <alignment horizontal="center" vertical="center"/>
    </xf>
    <xf numFmtId="0" fontId="0" fillId="22" borderId="39" xfId="0" applyFill="1" applyBorder="1" applyAlignment="1">
      <alignment horizontal="justify" vertical="top" wrapText="1"/>
    </xf>
    <xf numFmtId="0" fontId="0" fillId="22" borderId="40" xfId="0" applyFill="1" applyBorder="1" applyAlignment="1">
      <alignment horizontal="center" vertical="center"/>
    </xf>
    <xf numFmtId="0" fontId="0" fillId="22" borderId="25" xfId="0" applyFill="1" applyBorder="1" applyAlignment="1">
      <alignment horizontal="justify" vertical="top" wrapText="1"/>
    </xf>
    <xf numFmtId="0" fontId="0" fillId="22" borderId="28" xfId="0" applyFill="1" applyBorder="1" applyAlignment="1">
      <alignment horizontal="center" vertical="center"/>
    </xf>
    <xf numFmtId="0" fontId="0" fillId="22" borderId="25" xfId="0" applyFill="1" applyBorder="1" applyAlignment="1">
      <alignment horizontal="left" vertical="top" wrapText="1"/>
    </xf>
    <xf numFmtId="0" fontId="0" fillId="22" borderId="39" xfId="0" applyFill="1" applyBorder="1" applyAlignment="1">
      <alignment horizontal="left" vertical="top" wrapText="1"/>
    </xf>
    <xf numFmtId="0" fontId="0" fillId="22" borderId="39" xfId="0" applyFill="1" applyBorder="1" applyAlignment="1">
      <alignment horizontal="left" vertical="top"/>
    </xf>
    <xf numFmtId="0" fontId="0" fillId="22" borderId="31" xfId="0" applyFill="1" applyBorder="1" applyAlignment="1">
      <alignment horizontal="left" vertical="top" wrapText="1"/>
    </xf>
    <xf numFmtId="0" fontId="0" fillId="22" borderId="49" xfId="0" applyFill="1" applyBorder="1" applyAlignment="1">
      <alignment horizontal="justify" vertical="top"/>
    </xf>
    <xf numFmtId="0" fontId="0" fillId="22" borderId="30" xfId="0" applyFill="1" applyBorder="1" applyAlignment="1">
      <alignment horizontal="center" vertical="center"/>
    </xf>
    <xf numFmtId="0" fontId="0" fillId="21" borderId="32" xfId="0" applyFill="1" applyBorder="1" applyAlignment="1">
      <alignment horizontal="left" vertical="top" wrapText="1"/>
    </xf>
    <xf numFmtId="0" fontId="0" fillId="21" borderId="26" xfId="0" applyFill="1" applyBorder="1" applyAlignment="1">
      <alignment horizontal="justify" vertical="top"/>
    </xf>
    <xf numFmtId="0" fontId="0" fillId="21" borderId="33" xfId="0" applyFill="1" applyBorder="1" applyAlignment="1">
      <alignment horizontal="center" vertical="center"/>
    </xf>
    <xf numFmtId="0" fontId="0" fillId="21" borderId="27" xfId="0" applyFill="1" applyBorder="1" applyAlignment="1">
      <alignment horizontal="left" vertical="top" wrapText="1"/>
    </xf>
    <xf numFmtId="0" fontId="0" fillId="21" borderId="40" xfId="0" applyFill="1" applyBorder="1" applyAlignment="1">
      <alignment horizontal="center" vertical="center"/>
    </xf>
    <xf numFmtId="0" fontId="0" fillId="21" borderId="39" xfId="0" applyFill="1" applyBorder="1" applyAlignment="1">
      <alignment horizontal="left" vertical="top" wrapText="1"/>
    </xf>
    <xf numFmtId="0" fontId="0" fillId="21" borderId="25" xfId="0" applyFill="1" applyBorder="1" applyAlignment="1">
      <alignment horizontal="justify" vertical="top" wrapText="1"/>
    </xf>
    <xf numFmtId="0" fontId="0" fillId="21" borderId="28" xfId="0" applyFill="1" applyBorder="1" applyAlignment="1">
      <alignment horizontal="center" vertical="center"/>
    </xf>
    <xf numFmtId="0" fontId="0" fillId="21" borderId="39" xfId="0" applyFill="1" applyBorder="1" applyAlignment="1">
      <alignment horizontal="justify" vertical="top" wrapText="1"/>
    </xf>
    <xf numFmtId="0" fontId="0" fillId="21" borderId="39" xfId="0" applyFill="1" applyBorder="1" applyAlignment="1">
      <alignment horizontal="justify" vertical="top"/>
    </xf>
    <xf numFmtId="0" fontId="0" fillId="21" borderId="25" xfId="0" applyFill="1" applyBorder="1" applyAlignment="1">
      <alignment horizontal="justify" vertical="top"/>
    </xf>
    <xf numFmtId="0" fontId="0" fillId="21" borderId="25" xfId="0" applyFill="1" applyBorder="1" applyAlignment="1">
      <alignment horizontal="left" vertical="top" wrapText="1"/>
    </xf>
    <xf numFmtId="0" fontId="0" fillId="21" borderId="31" xfId="0" applyFill="1" applyBorder="1" applyAlignment="1">
      <alignment horizontal="justify" vertical="top" wrapText="1"/>
    </xf>
    <xf numFmtId="0" fontId="0" fillId="21" borderId="49" xfId="0" applyFill="1" applyBorder="1" applyAlignment="1">
      <alignment horizontal="justify" vertical="top"/>
    </xf>
    <xf numFmtId="0" fontId="0" fillId="21" borderId="30" xfId="0" applyFill="1" applyBorder="1" applyAlignment="1">
      <alignment horizontal="center" vertical="center"/>
    </xf>
    <xf numFmtId="0" fontId="0" fillId="23" borderId="32" xfId="0" applyFill="1" applyBorder="1" applyAlignment="1">
      <alignment horizontal="justify" vertical="top"/>
    </xf>
    <xf numFmtId="0" fontId="0" fillId="23" borderId="26" xfId="0" applyFill="1" applyBorder="1" applyAlignment="1">
      <alignment horizontal="justify" vertical="top"/>
    </xf>
    <xf numFmtId="0" fontId="0" fillId="23" borderId="33" xfId="0" applyFill="1" applyBorder="1" applyAlignment="1">
      <alignment horizontal="center" vertical="center"/>
    </xf>
    <xf numFmtId="0" fontId="0" fillId="23" borderId="25" xfId="0" applyFill="1" applyBorder="1" applyAlignment="1">
      <alignment horizontal="justify" vertical="top" wrapText="1"/>
    </xf>
    <xf numFmtId="0" fontId="0" fillId="23" borderId="28" xfId="0" applyFill="1" applyBorder="1" applyAlignment="1">
      <alignment horizontal="center" vertical="center"/>
    </xf>
    <xf numFmtId="0" fontId="0" fillId="23" borderId="39" xfId="0" applyFill="1" applyBorder="1" applyAlignment="1">
      <alignment horizontal="justify" vertical="top"/>
    </xf>
    <xf numFmtId="0" fontId="0" fillId="23" borderId="40" xfId="0" applyFill="1" applyBorder="1" applyAlignment="1">
      <alignment horizontal="center" vertical="center"/>
    </xf>
    <xf numFmtId="0" fontId="0" fillId="23" borderId="25" xfId="0" applyFill="1" applyBorder="1" applyAlignment="1">
      <alignment horizontal="justify" vertical="top"/>
    </xf>
    <xf numFmtId="0" fontId="0" fillId="23" borderId="42" xfId="0" applyFill="1" applyBorder="1" applyAlignment="1">
      <alignment horizontal="justify" vertical="top"/>
    </xf>
    <xf numFmtId="0" fontId="0" fillId="23" borderId="45" xfId="0" applyFill="1" applyBorder="1" applyAlignment="1">
      <alignment horizontal="justify" vertical="top"/>
    </xf>
    <xf numFmtId="0" fontId="0" fillId="23" borderId="46" xfId="0" applyFill="1" applyBorder="1" applyAlignment="1">
      <alignment horizontal="center" vertical="center"/>
    </xf>
    <xf numFmtId="0" fontId="0" fillId="24" borderId="32" xfId="0" applyFill="1" applyBorder="1" applyAlignment="1">
      <alignment horizontal="justify" vertical="top"/>
    </xf>
    <xf numFmtId="0" fontId="0" fillId="24" borderId="26" xfId="0" applyFill="1" applyBorder="1" applyAlignment="1">
      <alignment horizontal="justify" vertical="top"/>
    </xf>
    <xf numFmtId="0" fontId="0" fillId="24" borderId="33" xfId="0" applyFill="1" applyBorder="1" applyAlignment="1">
      <alignment horizontal="center" vertical="center"/>
    </xf>
    <xf numFmtId="0" fontId="0" fillId="24" borderId="25" xfId="0" applyFill="1" applyBorder="1" applyAlignment="1">
      <alignment horizontal="justify" vertical="top" wrapText="1"/>
    </xf>
    <xf numFmtId="0" fontId="0" fillId="24" borderId="28" xfId="0" applyFill="1" applyBorder="1" applyAlignment="1">
      <alignment horizontal="center" vertical="center"/>
    </xf>
    <xf numFmtId="0" fontId="0" fillId="24" borderId="39" xfId="0" applyFill="1" applyBorder="1" applyAlignment="1">
      <alignment horizontal="justify" vertical="top" wrapText="1"/>
    </xf>
    <xf numFmtId="0" fontId="0" fillId="24" borderId="40" xfId="0" applyFill="1" applyBorder="1" applyAlignment="1">
      <alignment horizontal="center" vertical="center"/>
    </xf>
    <xf numFmtId="0" fontId="0" fillId="24" borderId="42" xfId="0" applyFill="1" applyBorder="1" applyAlignment="1">
      <alignment horizontal="justify" vertical="top" wrapText="1"/>
    </xf>
    <xf numFmtId="0" fontId="0" fillId="24" borderId="45" xfId="0" applyFill="1" applyBorder="1" applyAlignment="1">
      <alignment horizontal="justify" vertical="top"/>
    </xf>
    <xf numFmtId="0" fontId="0" fillId="24" borderId="46" xfId="0" applyFill="1" applyBorder="1" applyAlignment="1">
      <alignment horizontal="center" vertical="center"/>
    </xf>
    <xf numFmtId="0" fontId="34" fillId="11" borderId="50" xfId="0" applyFont="1" applyFill="1" applyBorder="1" applyAlignment="1">
      <alignment vertical="top"/>
    </xf>
    <xf numFmtId="0" fontId="34" fillId="11" borderId="51" xfId="0" applyFont="1" applyFill="1" applyBorder="1" applyAlignment="1">
      <alignment vertical="top"/>
    </xf>
    <xf numFmtId="0" fontId="0" fillId="0" borderId="0" xfId="0" applyAlignment="1">
      <alignment horizontal="center" vertical="center"/>
    </xf>
    <xf numFmtId="0" fontId="0" fillId="0" borderId="0" xfId="0" applyAlignment="1">
      <alignment horizontal="justify" vertical="top"/>
    </xf>
    <xf numFmtId="0" fontId="0" fillId="10" borderId="8" xfId="0" applyFill="1" applyBorder="1" applyAlignment="1">
      <alignment horizontal="center"/>
    </xf>
    <xf numFmtId="0" fontId="0" fillId="24" borderId="8" xfId="0" applyFill="1" applyBorder="1" applyAlignment="1">
      <alignment horizontal="center"/>
    </xf>
    <xf numFmtId="0" fontId="0" fillId="24" borderId="53" xfId="0" applyFill="1" applyBorder="1"/>
    <xf numFmtId="2" fontId="0" fillId="7" borderId="0" xfId="0" applyNumberFormat="1" applyFill="1" applyProtection="1">
      <protection locked="0"/>
    </xf>
    <xf numFmtId="0" fontId="41" fillId="32" borderId="0" xfId="0" applyFont="1" applyFill="1" applyProtection="1">
      <protection locked="0"/>
    </xf>
    <xf numFmtId="0" fontId="0" fillId="37" borderId="52" xfId="0" applyFill="1" applyBorder="1"/>
    <xf numFmtId="0" fontId="11" fillId="0" borderId="0" xfId="0" applyFont="1" applyAlignment="1">
      <alignment horizontal="center" vertical="center" wrapText="1"/>
    </xf>
    <xf numFmtId="0" fontId="0" fillId="0" borderId="3" xfId="0" applyBorder="1" applyAlignment="1">
      <alignment vertical="top"/>
    </xf>
    <xf numFmtId="0" fontId="3" fillId="0" borderId="0" xfId="0" applyFont="1" applyAlignment="1">
      <alignment vertical="top"/>
    </xf>
    <xf numFmtId="0" fontId="43" fillId="0" borderId="0" xfId="0" applyFont="1" applyAlignment="1">
      <alignment vertical="top"/>
    </xf>
    <xf numFmtId="169" fontId="0" fillId="0" borderId="0" xfId="0" applyNumberFormat="1" applyAlignment="1">
      <alignment vertical="top"/>
    </xf>
    <xf numFmtId="170" fontId="0" fillId="0" borderId="0" xfId="0" applyNumberFormat="1" applyAlignment="1">
      <alignment vertical="top"/>
    </xf>
    <xf numFmtId="0" fontId="0" fillId="0" borderId="0" xfId="0" applyAlignment="1">
      <alignment horizontal="right" vertical="top"/>
    </xf>
    <xf numFmtId="165" fontId="0" fillId="10" borderId="0" xfId="0" applyNumberFormat="1" applyFill="1"/>
    <xf numFmtId="0" fontId="0" fillId="13" borderId="54" xfId="0" applyFill="1" applyBorder="1"/>
    <xf numFmtId="166" fontId="0" fillId="43" borderId="55" xfId="0" applyNumberFormat="1" applyFill="1" applyBorder="1"/>
    <xf numFmtId="166" fontId="0" fillId="43" borderId="56" xfId="0" applyNumberFormat="1" applyFill="1" applyBorder="1"/>
    <xf numFmtId="0" fontId="0" fillId="14" borderId="54" xfId="0" applyFill="1" applyBorder="1"/>
    <xf numFmtId="2" fontId="0" fillId="0" borderId="55" xfId="0" applyNumberFormat="1" applyBorder="1"/>
    <xf numFmtId="166" fontId="0" fillId="0" borderId="55" xfId="0" applyNumberFormat="1" applyBorder="1"/>
    <xf numFmtId="166" fontId="0" fillId="15" borderId="54" xfId="0" applyNumberFormat="1" applyFill="1" applyBorder="1"/>
    <xf numFmtId="0" fontId="0" fillId="16" borderId="54" xfId="0" applyFill="1" applyBorder="1"/>
    <xf numFmtId="0" fontId="0" fillId="17" borderId="54" xfId="0" applyFill="1" applyBorder="1"/>
    <xf numFmtId="0" fontId="0" fillId="21" borderId="54" xfId="0" applyFill="1" applyBorder="1"/>
    <xf numFmtId="0" fontId="0" fillId="8" borderId="54" xfId="0" applyFill="1" applyBorder="1"/>
    <xf numFmtId="0" fontId="0" fillId="18" borderId="54" xfId="0" applyFill="1" applyBorder="1"/>
    <xf numFmtId="0" fontId="0" fillId="19" borderId="54" xfId="0" applyFill="1" applyBorder="1"/>
    <xf numFmtId="0" fontId="3" fillId="0" borderId="54" xfId="0" applyFont="1" applyBorder="1"/>
    <xf numFmtId="2" fontId="3" fillId="0" borderId="55" xfId="0" applyNumberFormat="1" applyFont="1" applyBorder="1"/>
    <xf numFmtId="165" fontId="3" fillId="0" borderId="55" xfId="0" applyNumberFormat="1" applyFont="1" applyBorder="1"/>
    <xf numFmtId="166" fontId="3" fillId="0" borderId="55" xfId="0" applyNumberFormat="1" applyFont="1" applyBorder="1"/>
    <xf numFmtId="0" fontId="14" fillId="10" borderId="54" xfId="0" applyFont="1" applyFill="1" applyBorder="1" applyAlignment="1">
      <alignment vertical="top"/>
    </xf>
    <xf numFmtId="0" fontId="0" fillId="10" borderId="55" xfId="0" applyFill="1" applyBorder="1" applyAlignment="1">
      <alignment vertical="top"/>
    </xf>
    <xf numFmtId="0" fontId="0" fillId="10" borderId="55" xfId="0" applyFill="1" applyBorder="1" applyAlignment="1">
      <alignment vertical="top" wrapText="1"/>
    </xf>
    <xf numFmtId="0" fontId="3" fillId="10" borderId="55" xfId="0" applyFont="1" applyFill="1" applyBorder="1"/>
    <xf numFmtId="0" fontId="3" fillId="10" borderId="56" xfId="0" applyFont="1" applyFill="1" applyBorder="1"/>
    <xf numFmtId="2" fontId="0" fillId="44" borderId="0" xfId="0" applyNumberFormat="1" applyFill="1" applyProtection="1">
      <protection locked="0"/>
    </xf>
    <xf numFmtId="166" fontId="17" fillId="44" borderId="0" xfId="0" applyNumberFormat="1" applyFont="1" applyFill="1" applyProtection="1">
      <protection locked="0"/>
    </xf>
    <xf numFmtId="2" fontId="17" fillId="44" borderId="0" xfId="0" applyNumberFormat="1" applyFont="1" applyFill="1" applyProtection="1">
      <protection locked="0"/>
    </xf>
    <xf numFmtId="0" fontId="17" fillId="44" borderId="0" xfId="0" applyFont="1" applyFill="1"/>
    <xf numFmtId="166" fontId="0" fillId="10" borderId="55" xfId="0" applyNumberFormat="1" applyFill="1" applyBorder="1"/>
    <xf numFmtId="166" fontId="0" fillId="45" borderId="56" xfId="0" applyNumberFormat="1" applyFill="1" applyBorder="1"/>
    <xf numFmtId="2" fontId="0" fillId="45" borderId="55" xfId="0" applyNumberFormat="1" applyFill="1" applyBorder="1"/>
    <xf numFmtId="166" fontId="0" fillId="45" borderId="55" xfId="0" applyNumberFormat="1" applyFill="1" applyBorder="1"/>
    <xf numFmtId="166" fontId="5" fillId="45" borderId="55" xfId="0" applyNumberFormat="1" applyFont="1" applyFill="1" applyBorder="1"/>
    <xf numFmtId="2" fontId="5" fillId="45" borderId="55" xfId="0" applyNumberFormat="1" applyFont="1" applyFill="1" applyBorder="1"/>
    <xf numFmtId="166" fontId="5" fillId="45" borderId="56" xfId="0" applyNumberFormat="1" applyFont="1" applyFill="1" applyBorder="1"/>
    <xf numFmtId="0" fontId="5" fillId="45" borderId="54" xfId="0" applyFont="1" applyFill="1" applyBorder="1"/>
    <xf numFmtId="168" fontId="0" fillId="10" borderId="0" xfId="0" applyNumberFormat="1" applyFill="1"/>
    <xf numFmtId="0" fontId="44" fillId="46" borderId="0" xfId="0" applyFont="1" applyFill="1" applyAlignment="1">
      <alignment horizontal="center" vertical="center" wrapText="1"/>
    </xf>
    <xf numFmtId="0" fontId="44" fillId="46" borderId="0" xfId="0" applyFont="1" applyFill="1" applyAlignment="1">
      <alignment horizontal="center" vertical="center"/>
    </xf>
    <xf numFmtId="171" fontId="0" fillId="0" borderId="0" xfId="0" applyNumberFormat="1"/>
    <xf numFmtId="0" fontId="0" fillId="0" borderId="0" xfId="0" applyAlignment="1">
      <alignment horizontal="center"/>
    </xf>
    <xf numFmtId="0" fontId="0" fillId="0" borderId="8" xfId="0" applyBorder="1" applyAlignment="1">
      <alignment horizontal="center"/>
    </xf>
    <xf numFmtId="0" fontId="44" fillId="46" borderId="0" xfId="0" applyFont="1" applyFill="1" applyAlignment="1">
      <alignment horizontal="center"/>
    </xf>
    <xf numFmtId="166" fontId="0" fillId="47" borderId="4" xfId="0" applyNumberFormat="1" applyFill="1" applyBorder="1" applyAlignment="1">
      <alignment horizontal="right"/>
    </xf>
    <xf numFmtId="166" fontId="0" fillId="47" borderId="34" xfId="0" applyNumberFormat="1" applyFill="1" applyBorder="1" applyAlignment="1">
      <alignment horizontal="right"/>
    </xf>
    <xf numFmtId="166" fontId="0" fillId="47" borderId="35" xfId="0" applyNumberFormat="1" applyFill="1" applyBorder="1" applyAlignment="1">
      <alignment horizontal="right"/>
    </xf>
    <xf numFmtId="166" fontId="0" fillId="47" borderId="36" xfId="0" applyNumberFormat="1" applyFill="1" applyBorder="1" applyAlignment="1">
      <alignment horizontal="right"/>
    </xf>
    <xf numFmtId="166" fontId="0" fillId="47" borderId="17" xfId="0" applyNumberFormat="1" applyFill="1" applyBorder="1" applyAlignment="1">
      <alignment horizontal="right"/>
    </xf>
    <xf numFmtId="0" fontId="17" fillId="30" borderId="0" xfId="0" applyFont="1" applyFill="1" applyAlignment="1">
      <alignment vertical="top" wrapText="1"/>
    </xf>
    <xf numFmtId="0" fontId="17" fillId="30" borderId="0" xfId="0" applyFont="1" applyFill="1" applyAlignment="1" applyProtection="1">
      <alignment vertical="top" wrapText="1"/>
      <protection locked="0"/>
    </xf>
    <xf numFmtId="0" fontId="17" fillId="30" borderId="0" xfId="0" applyFont="1" applyFill="1" applyAlignment="1">
      <alignment horizontal="center" vertical="top" wrapText="1"/>
    </xf>
    <xf numFmtId="0" fontId="17" fillId="30" borderId="0" xfId="0" applyFont="1" applyFill="1" applyAlignment="1">
      <alignment horizontal="left" vertical="top" wrapText="1"/>
    </xf>
    <xf numFmtId="0" fontId="17" fillId="30" borderId="0" xfId="0" applyFont="1" applyFill="1" applyAlignment="1">
      <alignment horizontal="right" vertical="top" wrapText="1"/>
    </xf>
    <xf numFmtId="2" fontId="17" fillId="30" borderId="0" xfId="0" applyNumberFormat="1" applyFont="1" applyFill="1" applyAlignment="1">
      <alignment horizontal="right" vertical="top" wrapText="1"/>
    </xf>
    <xf numFmtId="49" fontId="17" fillId="30" borderId="0" xfId="0" applyNumberFormat="1" applyFont="1" applyFill="1" applyAlignment="1">
      <alignment vertical="top" wrapText="1"/>
    </xf>
    <xf numFmtId="0" fontId="17" fillId="30" borderId="0" xfId="0" applyFont="1" applyFill="1" applyAlignment="1">
      <alignment horizontal="center" vertical="center" wrapText="1"/>
    </xf>
    <xf numFmtId="0" fontId="17" fillId="0" borderId="0" xfId="0" applyFont="1"/>
    <xf numFmtId="0" fontId="11" fillId="12" borderId="1" xfId="0" applyFont="1" applyFill="1" applyBorder="1" applyAlignment="1">
      <alignment horizontal="left" vertical="top" wrapText="1"/>
    </xf>
    <xf numFmtId="0" fontId="11" fillId="12" borderId="4" xfId="0" applyFont="1" applyFill="1" applyBorder="1" applyAlignment="1">
      <alignment horizontal="left" vertical="top" wrapText="1"/>
    </xf>
    <xf numFmtId="2" fontId="11" fillId="12" borderId="4" xfId="0" applyNumberFormat="1" applyFont="1" applyFill="1" applyBorder="1" applyAlignment="1">
      <alignment horizontal="left" vertical="top" wrapText="1"/>
    </xf>
    <xf numFmtId="0" fontId="11" fillId="12" borderId="34" xfId="0" applyFont="1" applyFill="1" applyBorder="1" applyAlignment="1">
      <alignment horizontal="left" vertical="top" wrapText="1"/>
    </xf>
    <xf numFmtId="0" fontId="11" fillId="30" borderId="1" xfId="0" applyFont="1" applyFill="1" applyBorder="1" applyAlignment="1">
      <alignment horizontal="left" vertical="top" wrapText="1"/>
    </xf>
    <xf numFmtId="0" fontId="11" fillId="30" borderId="4" xfId="0" applyFont="1" applyFill="1" applyBorder="1" applyAlignment="1">
      <alignment horizontal="left" vertical="top" wrapText="1"/>
    </xf>
    <xf numFmtId="2" fontId="11" fillId="30" borderId="4" xfId="0" applyNumberFormat="1" applyFont="1" applyFill="1" applyBorder="1" applyAlignment="1">
      <alignment horizontal="left" vertical="top" wrapText="1"/>
    </xf>
    <xf numFmtId="165" fontId="11" fillId="30" borderId="4" xfId="0" applyNumberFormat="1" applyFont="1" applyFill="1" applyBorder="1" applyAlignment="1">
      <alignment horizontal="left" vertical="top" wrapText="1"/>
    </xf>
    <xf numFmtId="0" fontId="11" fillId="30" borderId="34" xfId="0" applyFont="1" applyFill="1" applyBorder="1" applyAlignment="1">
      <alignment horizontal="left" vertical="top" wrapText="1"/>
    </xf>
    <xf numFmtId="0" fontId="17" fillId="11" borderId="0" xfId="0" applyFont="1" applyFill="1" applyAlignment="1">
      <alignment vertical="center"/>
    </xf>
    <xf numFmtId="0" fontId="11" fillId="51" borderId="0" xfId="0" applyFont="1" applyFill="1" applyAlignment="1">
      <alignment vertical="center"/>
    </xf>
    <xf numFmtId="0" fontId="11" fillId="51" borderId="0" xfId="0" applyFont="1" applyFill="1" applyAlignment="1">
      <alignment horizontal="center" vertical="center"/>
    </xf>
    <xf numFmtId="0" fontId="11" fillId="51" borderId="0" xfId="0" applyFont="1" applyFill="1" applyAlignment="1">
      <alignment horizontal="center" vertical="center" wrapText="1"/>
    </xf>
    <xf numFmtId="0" fontId="11" fillId="11" borderId="0" xfId="0" applyFont="1" applyFill="1" applyAlignment="1">
      <alignment horizontal="center" vertical="top"/>
    </xf>
    <xf numFmtId="0" fontId="11" fillId="11" borderId="0" xfId="0" applyFont="1" applyFill="1" applyAlignment="1">
      <alignment horizontal="center" vertical="top" wrapText="1"/>
    </xf>
    <xf numFmtId="0" fontId="11" fillId="11" borderId="0" xfId="0" applyFont="1" applyFill="1" applyAlignment="1">
      <alignment vertical="top"/>
    </xf>
    <xf numFmtId="2" fontId="0" fillId="24" borderId="8" xfId="0" applyNumberFormat="1" applyFill="1" applyBorder="1" applyAlignment="1">
      <alignment horizontal="center" vertical="center"/>
    </xf>
    <xf numFmtId="2" fontId="0" fillId="0" borderId="8" xfId="0" applyNumberFormat="1" applyBorder="1" applyAlignment="1">
      <alignment horizontal="center" vertical="center"/>
    </xf>
    <xf numFmtId="0" fontId="0" fillId="10" borderId="57" xfId="0" applyFill="1" applyBorder="1"/>
    <xf numFmtId="0" fontId="0" fillId="0" borderId="58" xfId="0" applyBorder="1"/>
    <xf numFmtId="0" fontId="0" fillId="0" borderId="26" xfId="0" applyBorder="1"/>
    <xf numFmtId="0" fontId="0" fillId="0" borderId="21" xfId="0" applyBorder="1"/>
    <xf numFmtId="2" fontId="0" fillId="24" borderId="22" xfId="0" applyNumberFormat="1" applyFill="1" applyBorder="1" applyAlignment="1">
      <alignment horizontal="center" vertical="center"/>
    </xf>
    <xf numFmtId="2" fontId="0" fillId="0" borderId="22" xfId="0" applyNumberFormat="1" applyBorder="1" applyAlignment="1">
      <alignment horizontal="center" vertical="center"/>
    </xf>
    <xf numFmtId="2" fontId="0" fillId="24" borderId="45" xfId="0" applyNumberFormat="1" applyFill="1" applyBorder="1" applyAlignment="1">
      <alignment horizontal="center" vertical="center"/>
    </xf>
    <xf numFmtId="2" fontId="0" fillId="24" borderId="43" xfId="0" applyNumberFormat="1" applyFill="1" applyBorder="1" applyAlignment="1">
      <alignment horizontal="center" vertical="center"/>
    </xf>
    <xf numFmtId="0" fontId="0" fillId="25" borderId="0" xfId="0" applyFill="1" applyProtection="1">
      <protection locked="0"/>
    </xf>
    <xf numFmtId="0" fontId="0" fillId="23" borderId="31" xfId="0" applyFill="1" applyBorder="1" applyAlignment="1">
      <alignment horizontal="justify" vertical="top"/>
    </xf>
    <xf numFmtId="0" fontId="0" fillId="23" borderId="49" xfId="0" applyFill="1" applyBorder="1" applyAlignment="1">
      <alignment horizontal="justify" vertical="top"/>
    </xf>
    <xf numFmtId="0" fontId="0" fillId="23" borderId="30" xfId="0" applyFill="1" applyBorder="1" applyAlignment="1">
      <alignment horizontal="center" vertical="center"/>
    </xf>
    <xf numFmtId="0" fontId="0" fillId="23" borderId="27" xfId="0" applyFill="1" applyBorder="1" applyAlignment="1">
      <alignment horizontal="justify" vertical="top"/>
    </xf>
    <xf numFmtId="0" fontId="0" fillId="23" borderId="22" xfId="0" applyFill="1" applyBorder="1" applyAlignment="1">
      <alignment horizontal="center" vertical="center"/>
    </xf>
    <xf numFmtId="0" fontId="0" fillId="27" borderId="0" xfId="0" applyFill="1" applyAlignment="1">
      <alignment vertical="top" wrapText="1"/>
    </xf>
    <xf numFmtId="0" fontId="0" fillId="0" borderId="52" xfId="0" applyBorder="1"/>
    <xf numFmtId="0" fontId="0" fillId="24" borderId="14" xfId="0" applyFill="1" applyBorder="1" applyAlignment="1">
      <alignment horizontal="justify" vertical="top" wrapText="1"/>
    </xf>
    <xf numFmtId="0" fontId="0" fillId="24" borderId="6" xfId="0" applyFill="1" applyBorder="1" applyAlignment="1">
      <alignment horizontal="center" vertical="center"/>
    </xf>
    <xf numFmtId="0" fontId="0" fillId="24" borderId="51" xfId="0" applyFill="1" applyBorder="1" applyAlignment="1">
      <alignment horizontal="justify" vertical="top"/>
    </xf>
    <xf numFmtId="2" fontId="22" fillId="10" borderId="0" xfId="0" applyNumberFormat="1" applyFont="1" applyFill="1"/>
    <xf numFmtId="2" fontId="46" fillId="10" borderId="0" xfId="0" applyNumberFormat="1" applyFont="1" applyFill="1" applyAlignment="1">
      <alignment horizontal="center"/>
    </xf>
    <xf numFmtId="0" fontId="0" fillId="10" borderId="0" xfId="0" applyFill="1" applyAlignment="1">
      <alignment horizontal="left"/>
    </xf>
    <xf numFmtId="2" fontId="24" fillId="10" borderId="0" xfId="0" applyNumberFormat="1" applyFont="1" applyFill="1" applyAlignment="1">
      <alignment horizontal="center"/>
    </xf>
    <xf numFmtId="0" fontId="48" fillId="10" borderId="0" xfId="0" applyFont="1" applyFill="1"/>
    <xf numFmtId="0" fontId="22" fillId="10" borderId="0" xfId="0" applyFont="1" applyFill="1" applyAlignment="1">
      <alignment horizontal="right"/>
    </xf>
    <xf numFmtId="2" fontId="22" fillId="10" borderId="0" xfId="0" applyNumberFormat="1" applyFont="1" applyFill="1" applyAlignment="1">
      <alignment horizontal="center"/>
    </xf>
    <xf numFmtId="0" fontId="24" fillId="10" borderId="0" xfId="0" applyFont="1" applyFill="1" applyAlignment="1">
      <alignment horizontal="center" vertical="center"/>
    </xf>
    <xf numFmtId="0" fontId="23" fillId="10" borderId="0" xfId="0" applyFont="1" applyFill="1" applyAlignment="1">
      <alignment horizontal="center"/>
    </xf>
    <xf numFmtId="0" fontId="49" fillId="10" borderId="0" xfId="0" applyFont="1" applyFill="1"/>
    <xf numFmtId="0" fontId="0" fillId="10" borderId="0" xfId="0" applyFill="1" applyAlignment="1">
      <alignment horizontal="center"/>
    </xf>
    <xf numFmtId="0" fontId="0" fillId="10" borderId="0" xfId="0" applyFill="1" applyAlignment="1">
      <alignment vertical="top"/>
    </xf>
    <xf numFmtId="0" fontId="22" fillId="10" borderId="0" xfId="0" applyFont="1" applyFill="1"/>
    <xf numFmtId="0" fontId="0" fillId="10" borderId="0" xfId="0" applyFill="1" applyAlignment="1">
      <alignment horizontal="left" vertical="top"/>
    </xf>
    <xf numFmtId="0" fontId="23" fillId="10" borderId="0" xfId="0" applyFont="1" applyFill="1" applyAlignment="1">
      <alignment horizontal="left" vertical="center"/>
    </xf>
    <xf numFmtId="2" fontId="42" fillId="10" borderId="0" xfId="0" applyNumberFormat="1" applyFont="1" applyFill="1"/>
    <xf numFmtId="0" fontId="42" fillId="10" borderId="0" xfId="0" applyFont="1" applyFill="1"/>
    <xf numFmtId="0" fontId="42" fillId="10" borderId="0" xfId="0" applyFont="1" applyFill="1" applyAlignment="1">
      <alignment horizontal="center"/>
    </xf>
    <xf numFmtId="0" fontId="39" fillId="10" borderId="0" xfId="0" applyFont="1" applyFill="1"/>
    <xf numFmtId="2" fontId="23" fillId="10" borderId="0" xfId="0" applyNumberFormat="1" applyFont="1" applyFill="1" applyAlignment="1">
      <alignment horizontal="left"/>
    </xf>
    <xf numFmtId="2" fontId="27" fillId="10" borderId="0" xfId="0" applyNumberFormat="1" applyFont="1" applyFill="1" applyAlignment="1">
      <alignment horizontal="right"/>
    </xf>
    <xf numFmtId="2" fontId="39" fillId="10" borderId="0" xfId="0" applyNumberFormat="1" applyFont="1" applyFill="1" applyAlignment="1">
      <alignment horizontal="left"/>
    </xf>
    <xf numFmtId="0" fontId="0" fillId="10" borderId="0" xfId="0" applyFill="1" applyAlignment="1">
      <alignment horizontal="right"/>
    </xf>
    <xf numFmtId="0" fontId="27" fillId="10" borderId="0" xfId="0" applyFont="1" applyFill="1" applyAlignment="1">
      <alignment horizontal="right"/>
    </xf>
    <xf numFmtId="2" fontId="23" fillId="10" borderId="0" xfId="0" applyNumberFormat="1" applyFont="1" applyFill="1" applyAlignment="1">
      <alignment horizontal="left" vertical="top"/>
    </xf>
    <xf numFmtId="2" fontId="26" fillId="10" borderId="0" xfId="0" applyNumberFormat="1" applyFont="1" applyFill="1" applyAlignment="1">
      <alignment horizontal="center"/>
    </xf>
    <xf numFmtId="2" fontId="23" fillId="10" borderId="0" xfId="0" applyNumberFormat="1" applyFont="1" applyFill="1" applyAlignment="1">
      <alignment horizontal="center"/>
    </xf>
    <xf numFmtId="2" fontId="28" fillId="10" borderId="0" xfId="0" applyNumberFormat="1" applyFont="1" applyFill="1"/>
    <xf numFmtId="2" fontId="42" fillId="10" borderId="0" xfId="0" applyNumberFormat="1" applyFont="1" applyFill="1" applyAlignment="1">
      <alignment horizontal="right"/>
    </xf>
    <xf numFmtId="2" fontId="28" fillId="10" borderId="0" xfId="0" applyNumberFormat="1" applyFont="1" applyFill="1" applyAlignment="1">
      <alignment horizontal="right"/>
    </xf>
    <xf numFmtId="2" fontId="0" fillId="10" borderId="0" xfId="0" applyNumberFormat="1" applyFill="1" applyAlignment="1">
      <alignment horizontal="center"/>
    </xf>
    <xf numFmtId="2" fontId="26" fillId="10" borderId="0" xfId="0" applyNumberFormat="1" applyFont="1" applyFill="1"/>
    <xf numFmtId="0" fontId="26" fillId="10" borderId="0" xfId="0" applyFont="1" applyFill="1"/>
    <xf numFmtId="0" fontId="23" fillId="10" borderId="0" xfId="0" applyFont="1" applyFill="1"/>
    <xf numFmtId="0" fontId="23" fillId="10" borderId="0" xfId="0" applyFont="1" applyFill="1" applyAlignment="1">
      <alignment horizontal="right"/>
    </xf>
    <xf numFmtId="2" fontId="37" fillId="10" borderId="0" xfId="0" applyNumberFormat="1" applyFont="1" applyFill="1"/>
    <xf numFmtId="0" fontId="37" fillId="10" borderId="0" xfId="0" applyFont="1" applyFill="1"/>
    <xf numFmtId="0" fontId="28" fillId="10" borderId="0" xfId="0" applyFont="1" applyFill="1" applyAlignment="1">
      <alignment horizontal="center"/>
    </xf>
    <xf numFmtId="0" fontId="0" fillId="10" borderId="0" xfId="0" applyFill="1" applyAlignment="1">
      <alignment vertical="center"/>
    </xf>
    <xf numFmtId="0" fontId="26" fillId="10" borderId="0" xfId="0" applyFont="1" applyFill="1" applyAlignment="1">
      <alignment horizontal="left"/>
    </xf>
    <xf numFmtId="2" fontId="40" fillId="10" borderId="0" xfId="0" applyNumberFormat="1" applyFont="1" applyFill="1" applyAlignment="1">
      <alignment horizontal="center"/>
    </xf>
    <xf numFmtId="2" fontId="42" fillId="10" borderId="0" xfId="0" applyNumberFormat="1" applyFont="1" applyFill="1" applyAlignment="1">
      <alignment horizontal="right" vertical="top"/>
    </xf>
    <xf numFmtId="0" fontId="0" fillId="10" borderId="0" xfId="0" applyFill="1" applyAlignment="1">
      <alignment horizontal="right" vertical="top"/>
    </xf>
    <xf numFmtId="0" fontId="28" fillId="10" borderId="0" xfId="0" applyFont="1" applyFill="1" applyAlignment="1">
      <alignment horizontal="left"/>
    </xf>
    <xf numFmtId="2" fontId="28" fillId="10" borderId="0" xfId="0" applyNumberFormat="1" applyFont="1" applyFill="1" applyAlignment="1">
      <alignment horizontal="left"/>
    </xf>
    <xf numFmtId="2" fontId="26" fillId="10" borderId="0" xfId="0" applyNumberFormat="1" applyFont="1" applyFill="1" applyAlignment="1">
      <alignment horizontal="center" vertical="top"/>
    </xf>
    <xf numFmtId="2" fontId="29" fillId="10" borderId="0" xfId="0" applyNumberFormat="1" applyFont="1" applyFill="1" applyAlignment="1">
      <alignment horizontal="center"/>
    </xf>
    <xf numFmtId="0" fontId="28" fillId="10" borderId="0" xfId="0" applyFont="1" applyFill="1" applyAlignment="1">
      <alignment horizontal="right"/>
    </xf>
    <xf numFmtId="2" fontId="36" fillId="10" borderId="0" xfId="0" applyNumberFormat="1" applyFont="1" applyFill="1"/>
    <xf numFmtId="2" fontId="26" fillId="10" borderId="0" xfId="0" applyNumberFormat="1" applyFont="1" applyFill="1" applyAlignment="1">
      <alignment horizontal="left"/>
    </xf>
    <xf numFmtId="2" fontId="38" fillId="10" borderId="0" xfId="0" applyNumberFormat="1" applyFont="1" applyFill="1"/>
    <xf numFmtId="0" fontId="38" fillId="10" borderId="0" xfId="0" applyFont="1" applyFill="1"/>
    <xf numFmtId="0" fontId="0" fillId="10" borderId="0" xfId="0" applyFill="1" applyAlignment="1">
      <alignment horizontal="center" vertical="top"/>
    </xf>
    <xf numFmtId="0" fontId="49" fillId="10" borderId="0" xfId="0" applyFont="1" applyFill="1" applyAlignment="1">
      <alignment horizontal="center"/>
    </xf>
    <xf numFmtId="2" fontId="28" fillId="10" borderId="0" xfId="0" applyNumberFormat="1" applyFont="1" applyFill="1" applyAlignment="1">
      <alignment horizontal="center" vertical="center"/>
    </xf>
    <xf numFmtId="2" fontId="29" fillId="10" borderId="0" xfId="0" applyNumberFormat="1" applyFont="1" applyFill="1" applyAlignment="1">
      <alignment horizontal="center" vertical="top"/>
    </xf>
    <xf numFmtId="0" fontId="47" fillId="10" borderId="0" xfId="0" applyFont="1" applyFill="1"/>
    <xf numFmtId="2" fontId="32" fillId="10" borderId="0" xfId="0" applyNumberFormat="1" applyFont="1" applyFill="1" applyAlignment="1">
      <alignment horizontal="right"/>
    </xf>
    <xf numFmtId="2" fontId="32" fillId="10" borderId="0" xfId="0" applyNumberFormat="1" applyFont="1" applyFill="1"/>
    <xf numFmtId="0" fontId="25" fillId="10" borderId="0" xfId="0" applyFont="1" applyFill="1" applyAlignment="1">
      <alignment horizontal="center" vertical="center"/>
    </xf>
    <xf numFmtId="0" fontId="25" fillId="10" borderId="0" xfId="0" applyFont="1" applyFill="1" applyAlignment="1">
      <alignment vertical="center"/>
    </xf>
    <xf numFmtId="2" fontId="23" fillId="10" borderId="0" xfId="0" applyNumberFormat="1" applyFont="1" applyFill="1" applyAlignment="1">
      <alignment horizontal="right"/>
    </xf>
    <xf numFmtId="2" fontId="25" fillId="10" borderId="0" xfId="0" applyNumberFormat="1" applyFont="1" applyFill="1" applyAlignment="1">
      <alignment horizontal="left"/>
    </xf>
    <xf numFmtId="2" fontId="23" fillId="10" borderId="0" xfId="0" applyNumberFormat="1" applyFont="1" applyFill="1"/>
    <xf numFmtId="2" fontId="25" fillId="10" borderId="0" xfId="0" applyNumberFormat="1" applyFont="1" applyFill="1" applyAlignment="1">
      <alignment horizontal="center"/>
    </xf>
    <xf numFmtId="0" fontId="25" fillId="10" borderId="0" xfId="0" applyFont="1" applyFill="1" applyAlignment="1">
      <alignment horizontal="left"/>
    </xf>
    <xf numFmtId="0" fontId="23" fillId="10" borderId="0" xfId="0" applyFont="1" applyFill="1" applyAlignment="1">
      <alignment horizontal="center" vertical="center"/>
    </xf>
    <xf numFmtId="0" fontId="50" fillId="10" borderId="0" xfId="0" applyFont="1" applyFill="1"/>
    <xf numFmtId="0" fontId="0" fillId="10" borderId="23" xfId="0" applyFill="1" applyBorder="1"/>
    <xf numFmtId="0" fontId="0" fillId="10" borderId="52" xfId="0" applyFill="1" applyBorder="1"/>
    <xf numFmtId="0" fontId="0" fillId="10" borderId="24" xfId="0" applyFill="1" applyBorder="1"/>
    <xf numFmtId="0" fontId="0" fillId="10" borderId="28" xfId="0" applyFill="1" applyBorder="1"/>
    <xf numFmtId="0" fontId="51" fillId="10" borderId="29" xfId="0" applyFont="1" applyFill="1" applyBorder="1"/>
    <xf numFmtId="0" fontId="0" fillId="10" borderId="29" xfId="0" applyFill="1" applyBorder="1"/>
    <xf numFmtId="0" fontId="52" fillId="10" borderId="29" xfId="0" applyFont="1" applyFill="1" applyBorder="1"/>
    <xf numFmtId="0" fontId="0" fillId="10" borderId="30" xfId="0" applyFill="1" applyBorder="1"/>
    <xf numFmtId="0" fontId="0" fillId="10" borderId="0" xfId="0" applyFill="1" applyAlignment="1" applyProtection="1">
      <alignment horizontal="center"/>
      <protection locked="0"/>
    </xf>
    <xf numFmtId="0" fontId="0" fillId="10" borderId="0" xfId="0" applyFill="1" applyAlignment="1">
      <alignment horizontal="left" vertical="center"/>
    </xf>
    <xf numFmtId="2" fontId="27" fillId="10" borderId="0" xfId="0" applyNumberFormat="1" applyFont="1" applyFill="1"/>
    <xf numFmtId="0" fontId="55" fillId="10" borderId="0" xfId="0" applyFont="1" applyFill="1"/>
    <xf numFmtId="0" fontId="53" fillId="10" borderId="0" xfId="0" applyFont="1" applyFill="1"/>
    <xf numFmtId="0" fontId="49" fillId="10" borderId="0" xfId="0" applyFont="1" applyFill="1" applyAlignment="1">
      <alignment horizontal="right"/>
    </xf>
    <xf numFmtId="0" fontId="49" fillId="10" borderId="0" xfId="0" applyFont="1" applyFill="1" applyAlignment="1">
      <alignment horizontal="left"/>
    </xf>
    <xf numFmtId="2" fontId="49" fillId="10" borderId="0" xfId="0" applyNumberFormat="1" applyFont="1" applyFill="1"/>
    <xf numFmtId="2" fontId="49" fillId="10" borderId="0" xfId="0" applyNumberFormat="1" applyFont="1" applyFill="1" applyAlignment="1">
      <alignment horizontal="center"/>
    </xf>
    <xf numFmtId="2" fontId="42" fillId="10" borderId="0" xfId="0" applyNumberFormat="1" applyFont="1" applyFill="1" applyAlignment="1">
      <alignment horizontal="left"/>
    </xf>
    <xf numFmtId="2" fontId="0" fillId="10" borderId="0" xfId="0" applyNumberFormat="1" applyFill="1" applyAlignment="1">
      <alignment horizontal="right"/>
    </xf>
    <xf numFmtId="0" fontId="3" fillId="0" borderId="0" xfId="0" applyFont="1"/>
    <xf numFmtId="0" fontId="11" fillId="0" borderId="0" xfId="0" applyFont="1" applyAlignment="1">
      <alignment horizontal="center" vertical="center"/>
    </xf>
    <xf numFmtId="2" fontId="0" fillId="0" borderId="0" xfId="0" applyNumberFormat="1" applyAlignment="1">
      <alignment horizontal="center" vertical="center"/>
    </xf>
    <xf numFmtId="0" fontId="0" fillId="10" borderId="53" xfId="0" applyFill="1" applyBorder="1"/>
    <xf numFmtId="2" fontId="0" fillId="10" borderId="59" xfId="0" applyNumberFormat="1" applyFill="1" applyBorder="1" applyAlignment="1">
      <alignment horizontal="center"/>
    </xf>
    <xf numFmtId="0" fontId="0" fillId="10" borderId="43" xfId="0" applyFill="1" applyBorder="1" applyAlignment="1">
      <alignment horizontal="center"/>
    </xf>
    <xf numFmtId="0" fontId="3" fillId="29" borderId="26" xfId="0" applyFont="1" applyFill="1" applyBorder="1" applyAlignment="1">
      <alignment horizontal="center" vertical="center"/>
    </xf>
    <xf numFmtId="0" fontId="3" fillId="29" borderId="21" xfId="0" applyFont="1" applyFill="1" applyBorder="1" applyAlignment="1">
      <alignment horizontal="center" vertical="center"/>
    </xf>
    <xf numFmtId="0" fontId="0" fillId="10" borderId="26" xfId="0" applyFill="1" applyBorder="1" applyAlignment="1">
      <alignment horizontal="center"/>
    </xf>
    <xf numFmtId="0" fontId="0" fillId="10" borderId="21" xfId="0" applyFill="1" applyBorder="1" applyAlignment="1">
      <alignment horizontal="center"/>
    </xf>
    <xf numFmtId="2" fontId="55" fillId="10" borderId="0" xfId="0" applyNumberFormat="1" applyFont="1" applyFill="1"/>
    <xf numFmtId="172" fontId="42" fillId="10" borderId="0" xfId="0" applyNumberFormat="1" applyFont="1" applyFill="1"/>
    <xf numFmtId="172" fontId="52" fillId="10" borderId="0" xfId="0" applyNumberFormat="1" applyFont="1" applyFill="1"/>
    <xf numFmtId="0" fontId="49" fillId="10" borderId="0" xfId="0" applyFont="1" applyFill="1" applyAlignment="1">
      <alignment vertical="center"/>
    </xf>
    <xf numFmtId="0" fontId="0" fillId="29" borderId="61" xfId="0" applyFill="1" applyBorder="1"/>
    <xf numFmtId="0" fontId="0" fillId="29" borderId="62" xfId="0" applyFill="1" applyBorder="1"/>
    <xf numFmtId="0" fontId="0" fillId="10" borderId="22" xfId="0" applyFill="1" applyBorder="1"/>
    <xf numFmtId="0" fontId="0" fillId="0" borderId="30" xfId="0" applyBorder="1"/>
    <xf numFmtId="0" fontId="3" fillId="29" borderId="37" xfId="0" applyFont="1" applyFill="1" applyBorder="1" applyAlignment="1">
      <alignment horizontal="center" vertical="center"/>
    </xf>
    <xf numFmtId="0" fontId="0" fillId="29" borderId="65" xfId="0" applyFill="1" applyBorder="1"/>
    <xf numFmtId="0" fontId="0" fillId="0" borderId="22" xfId="0" applyBorder="1" applyAlignment="1">
      <alignment horizontal="center"/>
    </xf>
    <xf numFmtId="0" fontId="0" fillId="0" borderId="27" xfId="0" applyBorder="1" applyAlignment="1">
      <alignment horizontal="center"/>
    </xf>
    <xf numFmtId="1" fontId="0" fillId="0" borderId="45" xfId="0" applyNumberFormat="1" applyBorder="1" applyAlignment="1">
      <alignment horizontal="center" vertical="center"/>
    </xf>
    <xf numFmtId="1" fontId="0" fillId="0" borderId="43" xfId="0" applyNumberFormat="1" applyBorder="1" applyAlignment="1">
      <alignment horizontal="center" vertical="center"/>
    </xf>
    <xf numFmtId="0" fontId="0" fillId="0" borderId="63" xfId="0" applyBorder="1"/>
    <xf numFmtId="0" fontId="0" fillId="0" borderId="64" xfId="0" applyBorder="1"/>
    <xf numFmtId="0" fontId="0" fillId="0" borderId="16" xfId="0" applyBorder="1" applyAlignment="1">
      <alignment horizontal="center"/>
    </xf>
    <xf numFmtId="0" fontId="0" fillId="0" borderId="13" xfId="0" applyBorder="1" applyAlignment="1">
      <alignment horizontal="center"/>
    </xf>
    <xf numFmtId="0" fontId="0" fillId="0" borderId="64" xfId="0" applyBorder="1" applyAlignment="1">
      <alignment horizontal="center"/>
    </xf>
    <xf numFmtId="0" fontId="0" fillId="24" borderId="58" xfId="0" applyFill="1" applyBorder="1"/>
    <xf numFmtId="0" fontId="0" fillId="24" borderId="21" xfId="0" applyFill="1" applyBorder="1"/>
    <xf numFmtId="0" fontId="0" fillId="24" borderId="26" xfId="0" applyFill="1" applyBorder="1" applyAlignment="1">
      <alignment horizontal="center"/>
    </xf>
    <xf numFmtId="0" fontId="0" fillId="24" borderId="21" xfId="0" applyFill="1" applyBorder="1" applyAlignment="1">
      <alignment horizontal="center"/>
    </xf>
    <xf numFmtId="0" fontId="0" fillId="24" borderId="22" xfId="0" applyFill="1" applyBorder="1"/>
    <xf numFmtId="0" fontId="0" fillId="24" borderId="43" xfId="0" applyFill="1" applyBorder="1"/>
    <xf numFmtId="0" fontId="0" fillId="15" borderId="58" xfId="0" applyFill="1" applyBorder="1"/>
    <xf numFmtId="0" fontId="0" fillId="15" borderId="21" xfId="0" applyFill="1" applyBorder="1"/>
    <xf numFmtId="0" fontId="0" fillId="15" borderId="26" xfId="0" applyFill="1" applyBorder="1" applyAlignment="1">
      <alignment horizontal="center"/>
    </xf>
    <xf numFmtId="0" fontId="0" fillId="15" borderId="21" xfId="0" applyFill="1" applyBorder="1" applyAlignment="1">
      <alignment horizontal="center"/>
    </xf>
    <xf numFmtId="0" fontId="0" fillId="15" borderId="27" xfId="0" applyFill="1" applyBorder="1"/>
    <xf numFmtId="0" fontId="0" fillId="15" borderId="22" xfId="0" applyFill="1" applyBorder="1"/>
    <xf numFmtId="0" fontId="0" fillId="15" borderId="57" xfId="0" applyFill="1" applyBorder="1"/>
    <xf numFmtId="0" fontId="0" fillId="18" borderId="58" xfId="0" applyFill="1" applyBorder="1"/>
    <xf numFmtId="0" fontId="0" fillId="18" borderId="21" xfId="0" applyFill="1" applyBorder="1"/>
    <xf numFmtId="0" fontId="0" fillId="18" borderId="26" xfId="0" applyFill="1" applyBorder="1" applyAlignment="1">
      <alignment horizontal="center"/>
    </xf>
    <xf numFmtId="0" fontId="0" fillId="18" borderId="21" xfId="0" applyFill="1" applyBorder="1" applyAlignment="1">
      <alignment horizontal="center"/>
    </xf>
    <xf numFmtId="0" fontId="0" fillId="18" borderId="27" xfId="0" applyFill="1" applyBorder="1"/>
    <xf numFmtId="0" fontId="0" fillId="18" borderId="22" xfId="0" applyFill="1" applyBorder="1"/>
    <xf numFmtId="0" fontId="0" fillId="18" borderId="57" xfId="0" applyFill="1" applyBorder="1"/>
    <xf numFmtId="0" fontId="0" fillId="28" borderId="58" xfId="0" applyFill="1" applyBorder="1"/>
    <xf numFmtId="0" fontId="0" fillId="28" borderId="21" xfId="0" applyFill="1" applyBorder="1"/>
    <xf numFmtId="0" fontId="0" fillId="28" borderId="26" xfId="0" applyFill="1" applyBorder="1" applyAlignment="1">
      <alignment horizontal="center"/>
    </xf>
    <xf numFmtId="0" fontId="0" fillId="28" borderId="21" xfId="0" applyFill="1" applyBorder="1" applyAlignment="1">
      <alignment horizontal="center"/>
    </xf>
    <xf numFmtId="0" fontId="0" fillId="28" borderId="27" xfId="0" applyFill="1" applyBorder="1"/>
    <xf numFmtId="0" fontId="0" fillId="28" borderId="22" xfId="0" applyFill="1" applyBorder="1"/>
    <xf numFmtId="0" fontId="0" fillId="28" borderId="57" xfId="0" applyFill="1" applyBorder="1"/>
    <xf numFmtId="0" fontId="0" fillId="14" borderId="27" xfId="0" applyFill="1" applyBorder="1"/>
    <xf numFmtId="0" fontId="0" fillId="14" borderId="22" xfId="0" applyFill="1" applyBorder="1"/>
    <xf numFmtId="0" fontId="0" fillId="14" borderId="57" xfId="0" applyFill="1" applyBorder="1"/>
    <xf numFmtId="0" fontId="0" fillId="15" borderId="30" xfId="0" applyFill="1" applyBorder="1"/>
    <xf numFmtId="0" fontId="0" fillId="18" borderId="30" xfId="0" applyFill="1" applyBorder="1"/>
    <xf numFmtId="0" fontId="0" fillId="28" borderId="30" xfId="0" applyFill="1" applyBorder="1"/>
    <xf numFmtId="0" fontId="0" fillId="14" borderId="30" xfId="0" applyFill="1" applyBorder="1"/>
    <xf numFmtId="0" fontId="0" fillId="24" borderId="58" xfId="0" applyFill="1" applyBorder="1" applyAlignment="1">
      <alignment horizontal="center"/>
    </xf>
    <xf numFmtId="0" fontId="0" fillId="15" borderId="58" xfId="0" applyFill="1" applyBorder="1" applyAlignment="1">
      <alignment horizontal="center"/>
    </xf>
    <xf numFmtId="0" fontId="0" fillId="18" borderId="58" xfId="0" applyFill="1" applyBorder="1" applyAlignment="1">
      <alignment horizontal="center"/>
    </xf>
    <xf numFmtId="0" fontId="0" fillId="28" borderId="58" xfId="0" applyFill="1" applyBorder="1" applyAlignment="1">
      <alignment horizontal="center"/>
    </xf>
    <xf numFmtId="0" fontId="0" fillId="14" borderId="66" xfId="0" applyFill="1" applyBorder="1"/>
    <xf numFmtId="0" fontId="0" fillId="14" borderId="21" xfId="0" applyFill="1" applyBorder="1"/>
    <xf numFmtId="0" fontId="0" fillId="14" borderId="58" xfId="0" applyFill="1" applyBorder="1" applyAlignment="1">
      <alignment horizontal="center"/>
    </xf>
    <xf numFmtId="0" fontId="0" fillId="14" borderId="26" xfId="0" applyFill="1" applyBorder="1" applyAlignment="1">
      <alignment horizontal="center"/>
    </xf>
    <xf numFmtId="0" fontId="0" fillId="14" borderId="21" xfId="0" applyFill="1" applyBorder="1" applyAlignment="1">
      <alignment horizontal="center"/>
    </xf>
    <xf numFmtId="0" fontId="0" fillId="0" borderId="43" xfId="0" applyBorder="1" applyAlignment="1">
      <alignment horizontal="center"/>
    </xf>
    <xf numFmtId="0" fontId="0" fillId="10" borderId="58" xfId="0" applyFill="1" applyBorder="1"/>
    <xf numFmtId="0" fontId="0" fillId="10" borderId="21" xfId="0" applyFill="1" applyBorder="1"/>
    <xf numFmtId="0" fontId="0" fillId="10" borderId="58" xfId="0" applyFill="1" applyBorder="1" applyAlignment="1">
      <alignment horizontal="center" vertical="top"/>
    </xf>
    <xf numFmtId="1" fontId="0" fillId="10" borderId="26" xfId="0" applyNumberFormat="1" applyFill="1" applyBorder="1" applyAlignment="1">
      <alignment horizontal="center"/>
    </xf>
    <xf numFmtId="1" fontId="0" fillId="10" borderId="21" xfId="0" applyNumberFormat="1" applyFill="1" applyBorder="1" applyAlignment="1">
      <alignment horizontal="center"/>
    </xf>
    <xf numFmtId="0" fontId="0" fillId="10" borderId="43" xfId="0" applyFill="1" applyBorder="1"/>
    <xf numFmtId="0" fontId="0" fillId="52" borderId="26" xfId="0" applyFill="1" applyBorder="1" applyAlignment="1">
      <alignment horizontal="center"/>
    </xf>
    <xf numFmtId="0" fontId="0" fillId="52" borderId="21" xfId="0" applyFill="1" applyBorder="1" applyAlignment="1">
      <alignment horizontal="center"/>
    </xf>
    <xf numFmtId="0" fontId="0" fillId="0" borderId="23" xfId="0" applyBorder="1"/>
    <xf numFmtId="0" fontId="0" fillId="0" borderId="24" xfId="0" applyBorder="1"/>
    <xf numFmtId="0" fontId="0" fillId="53" borderId="58" xfId="0" applyFill="1" applyBorder="1"/>
    <xf numFmtId="0" fontId="0" fillId="53" borderId="21" xfId="0" applyFill="1" applyBorder="1"/>
    <xf numFmtId="0" fontId="0" fillId="53" borderId="58" xfId="0" applyFill="1" applyBorder="1" applyAlignment="1">
      <alignment horizontal="center"/>
    </xf>
    <xf numFmtId="0" fontId="0" fillId="53" borderId="26" xfId="0" applyFill="1" applyBorder="1" applyAlignment="1">
      <alignment horizontal="center"/>
    </xf>
    <xf numFmtId="0" fontId="0" fillId="53" borderId="21" xfId="0" applyFill="1" applyBorder="1" applyAlignment="1">
      <alignment horizontal="center"/>
    </xf>
    <xf numFmtId="0" fontId="0" fillId="53" borderId="27" xfId="0" applyFill="1" applyBorder="1"/>
    <xf numFmtId="0" fontId="0" fillId="53" borderId="22" xfId="0" applyFill="1" applyBorder="1"/>
    <xf numFmtId="0" fontId="0" fillId="53" borderId="60" xfId="0" applyFill="1" applyBorder="1"/>
    <xf numFmtId="0" fontId="0" fillId="53" borderId="62" xfId="0" applyFill="1" applyBorder="1"/>
    <xf numFmtId="0" fontId="0" fillId="52" borderId="23" xfId="0" applyFill="1" applyBorder="1"/>
    <xf numFmtId="0" fontId="0" fillId="52" borderId="24" xfId="0" applyFill="1" applyBorder="1"/>
    <xf numFmtId="0" fontId="0" fillId="52" borderId="25" xfId="0" applyFill="1" applyBorder="1"/>
    <xf numFmtId="0" fontId="0" fillId="52" borderId="28" xfId="0" applyFill="1" applyBorder="1"/>
    <xf numFmtId="0" fontId="0" fillId="52" borderId="31" xfId="0" applyFill="1" applyBorder="1"/>
    <xf numFmtId="0" fontId="0" fillId="52" borderId="30" xfId="0" applyFill="1" applyBorder="1"/>
    <xf numFmtId="0" fontId="0" fillId="0" borderId="3" xfId="0" applyBorder="1" applyAlignment="1">
      <alignment horizontal="center" vertical="center" wrapText="1"/>
    </xf>
    <xf numFmtId="0" fontId="0" fillId="52" borderId="37" xfId="0" applyFill="1" applyBorder="1" applyAlignment="1">
      <alignment horizontal="center"/>
    </xf>
    <xf numFmtId="0" fontId="0" fillId="0" borderId="60" xfId="0" applyBorder="1" applyAlignment="1">
      <alignment horizontal="center"/>
    </xf>
    <xf numFmtId="0" fontId="0" fillId="0" borderId="61" xfId="0" applyBorder="1" applyAlignment="1">
      <alignment horizontal="center"/>
    </xf>
    <xf numFmtId="0" fontId="0" fillId="0" borderId="62" xfId="0" applyBorder="1" applyAlignment="1">
      <alignment horizontal="center"/>
    </xf>
    <xf numFmtId="0" fontId="0" fillId="0" borderId="37" xfId="0" applyBorder="1" applyAlignment="1">
      <alignment horizontal="center"/>
    </xf>
    <xf numFmtId="0" fontId="0" fillId="0" borderId="26" xfId="0" applyBorder="1" applyAlignment="1">
      <alignment horizontal="center"/>
    </xf>
    <xf numFmtId="0" fontId="0" fillId="0" borderId="21" xfId="0" applyBorder="1" applyAlignment="1">
      <alignment horizontal="center"/>
    </xf>
    <xf numFmtId="0" fontId="0" fillId="0" borderId="59" xfId="0" applyBorder="1" applyAlignment="1">
      <alignment horizontal="center"/>
    </xf>
    <xf numFmtId="0" fontId="0" fillId="0" borderId="45" xfId="0" applyBorder="1" applyAlignment="1">
      <alignment horizontal="center"/>
    </xf>
    <xf numFmtId="2" fontId="0" fillId="24" borderId="27" xfId="0" applyNumberFormat="1" applyFill="1" applyBorder="1" applyAlignment="1">
      <alignment horizontal="center"/>
    </xf>
    <xf numFmtId="2" fontId="0" fillId="24" borderId="22" xfId="0" applyNumberFormat="1" applyFill="1" applyBorder="1" applyAlignment="1">
      <alignment horizontal="center"/>
    </xf>
    <xf numFmtId="2" fontId="0" fillId="24" borderId="53" xfId="0" applyNumberFormat="1" applyFill="1" applyBorder="1" applyAlignment="1">
      <alignment horizontal="center"/>
    </xf>
    <xf numFmtId="2" fontId="0" fillId="24" borderId="45" xfId="0" applyNumberFormat="1" applyFill="1" applyBorder="1" applyAlignment="1">
      <alignment horizontal="center"/>
    </xf>
    <xf numFmtId="2" fontId="0" fillId="24" borderId="43" xfId="0" applyNumberFormat="1" applyFill="1" applyBorder="1" applyAlignment="1">
      <alignment horizontal="center"/>
    </xf>
    <xf numFmtId="2" fontId="0" fillId="10" borderId="25" xfId="0" applyNumberFormat="1" applyFill="1" applyBorder="1" applyAlignment="1">
      <alignment horizontal="center"/>
    </xf>
    <xf numFmtId="2" fontId="0" fillId="10" borderId="8" xfId="0" applyNumberFormat="1" applyFill="1" applyBorder="1" applyAlignment="1">
      <alignment horizontal="center" vertical="top"/>
    </xf>
    <xf numFmtId="2" fontId="0" fillId="10" borderId="22" xfId="0" applyNumberFormat="1" applyFill="1" applyBorder="1" applyAlignment="1">
      <alignment horizontal="center" vertical="top"/>
    </xf>
    <xf numFmtId="2" fontId="0" fillId="10" borderId="27" xfId="0" applyNumberFormat="1" applyFill="1" applyBorder="1" applyAlignment="1">
      <alignment horizontal="center"/>
    </xf>
    <xf numFmtId="2" fontId="0" fillId="10" borderId="8" xfId="0" applyNumberFormat="1" applyFill="1" applyBorder="1" applyAlignment="1">
      <alignment horizontal="center"/>
    </xf>
    <xf numFmtId="2" fontId="0" fillId="10" borderId="22" xfId="0" applyNumberFormat="1" applyFill="1" applyBorder="1" applyAlignment="1">
      <alignment horizontal="center"/>
    </xf>
    <xf numFmtId="2" fontId="0" fillId="10" borderId="53" xfId="0" applyNumberFormat="1" applyFill="1" applyBorder="1" applyAlignment="1">
      <alignment horizontal="center"/>
    </xf>
    <xf numFmtId="2" fontId="0" fillId="10" borderId="45" xfId="0" applyNumberFormat="1" applyFill="1" applyBorder="1" applyAlignment="1">
      <alignment horizontal="center"/>
    </xf>
    <xf numFmtId="2" fontId="0" fillId="10" borderId="43" xfId="0" applyNumberFormat="1" applyFill="1" applyBorder="1" applyAlignment="1">
      <alignment horizontal="center"/>
    </xf>
    <xf numFmtId="2" fontId="0" fillId="15" borderId="27" xfId="0" applyNumberFormat="1" applyFill="1" applyBorder="1" applyAlignment="1">
      <alignment horizontal="center"/>
    </xf>
    <xf numFmtId="2" fontId="0" fillId="15" borderId="8" xfId="0" applyNumberFormat="1" applyFill="1" applyBorder="1" applyAlignment="1">
      <alignment horizontal="center"/>
    </xf>
    <xf numFmtId="2" fontId="0" fillId="15" borderId="22" xfId="0" applyNumberFormat="1" applyFill="1" applyBorder="1" applyAlignment="1">
      <alignment horizontal="center"/>
    </xf>
    <xf numFmtId="2" fontId="0" fillId="15" borderId="53" xfId="0" applyNumberFormat="1" applyFill="1" applyBorder="1" applyAlignment="1">
      <alignment horizontal="center"/>
    </xf>
    <xf numFmtId="2" fontId="0" fillId="15" borderId="45" xfId="0" applyNumberFormat="1" applyFill="1" applyBorder="1" applyAlignment="1">
      <alignment horizontal="center"/>
    </xf>
    <xf numFmtId="2" fontId="0" fillId="15" borderId="43" xfId="0" applyNumberFormat="1" applyFill="1" applyBorder="1" applyAlignment="1">
      <alignment horizontal="center"/>
    </xf>
    <xf numFmtId="2" fontId="0" fillId="18" borderId="27" xfId="0" applyNumberFormat="1" applyFill="1" applyBorder="1" applyAlignment="1">
      <alignment horizontal="center"/>
    </xf>
    <xf numFmtId="2" fontId="0" fillId="18" borderId="8" xfId="0" applyNumberFormat="1" applyFill="1" applyBorder="1" applyAlignment="1">
      <alignment horizontal="center"/>
    </xf>
    <xf numFmtId="2" fontId="0" fillId="18" borderId="22" xfId="0" applyNumberFormat="1" applyFill="1" applyBorder="1" applyAlignment="1">
      <alignment horizontal="center"/>
    </xf>
    <xf numFmtId="2" fontId="0" fillId="18" borderId="53" xfId="0" applyNumberFormat="1" applyFill="1" applyBorder="1" applyAlignment="1">
      <alignment horizontal="center"/>
    </xf>
    <xf numFmtId="2" fontId="0" fillId="18" borderId="45" xfId="0" applyNumberFormat="1" applyFill="1" applyBorder="1" applyAlignment="1">
      <alignment horizontal="center"/>
    </xf>
    <xf numFmtId="2" fontId="0" fillId="18" borderId="43" xfId="0" applyNumberFormat="1" applyFill="1" applyBorder="1" applyAlignment="1">
      <alignment horizontal="center"/>
    </xf>
    <xf numFmtId="2" fontId="0" fillId="28" borderId="27" xfId="0" applyNumberFormat="1" applyFill="1" applyBorder="1" applyAlignment="1">
      <alignment horizontal="center"/>
    </xf>
    <xf numFmtId="2" fontId="0" fillId="28" borderId="8" xfId="0" applyNumberFormat="1" applyFill="1" applyBorder="1" applyAlignment="1">
      <alignment horizontal="center"/>
    </xf>
    <xf numFmtId="2" fontId="0" fillId="28" borderId="22" xfId="0" applyNumberFormat="1" applyFill="1" applyBorder="1" applyAlignment="1">
      <alignment horizontal="center"/>
    </xf>
    <xf numFmtId="2" fontId="0" fillId="28" borderId="53" xfId="0" applyNumberFormat="1" applyFill="1" applyBorder="1" applyAlignment="1">
      <alignment horizontal="center"/>
    </xf>
    <xf numFmtId="2" fontId="0" fillId="28" borderId="45" xfId="0" applyNumberFormat="1" applyFill="1" applyBorder="1" applyAlignment="1">
      <alignment horizontal="center"/>
    </xf>
    <xf numFmtId="2" fontId="0" fillId="28" borderId="43" xfId="0" applyNumberFormat="1" applyFill="1" applyBorder="1" applyAlignment="1">
      <alignment horizontal="center"/>
    </xf>
    <xf numFmtId="2" fontId="0" fillId="53" borderId="27" xfId="0" applyNumberFormat="1" applyFill="1" applyBorder="1" applyAlignment="1">
      <alignment horizontal="center"/>
    </xf>
    <xf numFmtId="2" fontId="0" fillId="53" borderId="8" xfId="0" applyNumberFormat="1" applyFill="1" applyBorder="1" applyAlignment="1">
      <alignment horizontal="center"/>
    </xf>
    <xf numFmtId="2" fontId="0" fillId="53" borderId="22" xfId="0" applyNumberFormat="1" applyFill="1" applyBorder="1" applyAlignment="1">
      <alignment horizontal="center"/>
    </xf>
    <xf numFmtId="2" fontId="0" fillId="53" borderId="60" xfId="0" applyNumberFormat="1" applyFill="1" applyBorder="1" applyAlignment="1">
      <alignment horizontal="center"/>
    </xf>
    <xf numFmtId="2" fontId="0" fillId="53" borderId="61" xfId="0" applyNumberFormat="1" applyFill="1" applyBorder="1" applyAlignment="1">
      <alignment horizontal="center"/>
    </xf>
    <xf numFmtId="2" fontId="0" fillId="53" borderId="62" xfId="0" applyNumberFormat="1" applyFill="1" applyBorder="1" applyAlignment="1">
      <alignment horizontal="center"/>
    </xf>
    <xf numFmtId="0" fontId="0" fillId="0" borderId="67" xfId="0" applyBorder="1" applyAlignment="1">
      <alignment horizontal="left"/>
    </xf>
    <xf numFmtId="0" fontId="0" fillId="0" borderId="41" xfId="0" applyBorder="1" applyAlignment="1">
      <alignment horizontal="left"/>
    </xf>
    <xf numFmtId="1" fontId="0" fillId="0" borderId="65" xfId="0" applyNumberFormat="1" applyBorder="1" applyAlignment="1">
      <alignment horizontal="center" vertical="center"/>
    </xf>
    <xf numFmtId="0" fontId="0" fillId="0" borderId="68" xfId="0" applyBorder="1"/>
    <xf numFmtId="2" fontId="0" fillId="10" borderId="11" xfId="0" applyNumberFormat="1" applyFill="1" applyBorder="1"/>
    <xf numFmtId="0" fontId="3" fillId="37" borderId="23" xfId="0" applyFont="1" applyFill="1" applyBorder="1"/>
    <xf numFmtId="0" fontId="3" fillId="37" borderId="31" xfId="0" applyFont="1" applyFill="1" applyBorder="1"/>
    <xf numFmtId="0" fontId="0" fillId="37" borderId="29" xfId="0" applyFill="1" applyBorder="1" applyAlignment="1">
      <alignment horizontal="center"/>
    </xf>
    <xf numFmtId="2" fontId="0" fillId="0" borderId="0" xfId="0" applyNumberFormat="1" applyAlignment="1">
      <alignment horizontal="center"/>
    </xf>
    <xf numFmtId="0" fontId="0" fillId="54" borderId="14" xfId="0" applyFill="1" applyBorder="1"/>
    <xf numFmtId="2" fontId="0" fillId="54" borderId="5" xfId="0" applyNumberFormat="1" applyFill="1" applyBorder="1"/>
    <xf numFmtId="0" fontId="0" fillId="54" borderId="6" xfId="0" applyFill="1" applyBorder="1" applyAlignment="1">
      <alignment horizontal="center"/>
    </xf>
    <xf numFmtId="0" fontId="0" fillId="0" borderId="70" xfId="0" applyBorder="1" applyAlignment="1">
      <alignment horizontal="center"/>
    </xf>
    <xf numFmtId="0" fontId="0" fillId="0" borderId="9" xfId="0" applyBorder="1" applyAlignment="1">
      <alignment horizontal="center"/>
    </xf>
    <xf numFmtId="0" fontId="3" fillId="55" borderId="0" xfId="0" applyFont="1" applyFill="1" applyAlignment="1">
      <alignment horizontal="center" vertical="center" wrapText="1"/>
    </xf>
    <xf numFmtId="0" fontId="3" fillId="55" borderId="31" xfId="0" applyFont="1" applyFill="1" applyBorder="1" applyAlignment="1">
      <alignment horizontal="center" vertical="center" wrapText="1"/>
    </xf>
    <xf numFmtId="0" fontId="3" fillId="55" borderId="25" xfId="0" applyFont="1" applyFill="1" applyBorder="1" applyAlignment="1">
      <alignment horizontal="center" vertical="center" wrapText="1"/>
    </xf>
    <xf numFmtId="0" fontId="3" fillId="55" borderId="28" xfId="0" applyFont="1" applyFill="1" applyBorder="1" applyAlignment="1">
      <alignment horizontal="center" vertical="center" wrapText="1"/>
    </xf>
    <xf numFmtId="0" fontId="3" fillId="55" borderId="29" xfId="0" applyFont="1" applyFill="1" applyBorder="1" applyAlignment="1">
      <alignment horizontal="center" vertical="center" wrapText="1"/>
    </xf>
    <xf numFmtId="0" fontId="3" fillId="54" borderId="29" xfId="0" applyFont="1" applyFill="1" applyBorder="1" applyAlignment="1">
      <alignment horizontal="center" vertical="center"/>
    </xf>
    <xf numFmtId="165" fontId="0" fillId="4" borderId="75" xfId="0" applyNumberFormat="1" applyFill="1" applyBorder="1"/>
    <xf numFmtId="165" fontId="0" fillId="0" borderId="38" xfId="0" applyNumberFormat="1" applyBorder="1"/>
    <xf numFmtId="20" fontId="0" fillId="4" borderId="78" xfId="0" applyNumberFormat="1" applyFill="1" applyBorder="1"/>
    <xf numFmtId="20" fontId="0" fillId="0" borderId="79" xfId="0" applyNumberFormat="1" applyBorder="1"/>
    <xf numFmtId="20" fontId="0" fillId="4" borderId="79" xfId="0" applyNumberFormat="1" applyFill="1" applyBorder="1"/>
    <xf numFmtId="20" fontId="0" fillId="0" borderId="80" xfId="0" applyNumberFormat="1" applyBorder="1"/>
    <xf numFmtId="165" fontId="0" fillId="24" borderId="58" xfId="0" applyNumberFormat="1" applyFill="1" applyBorder="1"/>
    <xf numFmtId="165" fontId="0" fillId="0" borderId="27" xfId="0" applyNumberFormat="1" applyBorder="1"/>
    <xf numFmtId="165" fontId="0" fillId="24" borderId="27" xfId="0" applyNumberFormat="1" applyFill="1" applyBorder="1"/>
    <xf numFmtId="165" fontId="0" fillId="0" borderId="53" xfId="0" applyNumberFormat="1" applyBorder="1"/>
    <xf numFmtId="165" fontId="0" fillId="4" borderId="74" xfId="0" applyNumberFormat="1" applyFill="1" applyBorder="1"/>
    <xf numFmtId="165" fontId="0" fillId="0" borderId="76" xfId="0" applyNumberFormat="1" applyBorder="1"/>
    <xf numFmtId="165" fontId="0" fillId="4" borderId="76" xfId="0" applyNumberFormat="1" applyFill="1" applyBorder="1"/>
    <xf numFmtId="165" fontId="0" fillId="0" borderId="77" xfId="0" applyNumberFormat="1" applyBorder="1"/>
    <xf numFmtId="0" fontId="3" fillId="37" borderId="25" xfId="0" applyFont="1" applyFill="1" applyBorder="1"/>
    <xf numFmtId="0" fontId="3" fillId="37" borderId="0" xfId="0" applyFont="1" applyFill="1"/>
    <xf numFmtId="0" fontId="3" fillId="37" borderId="52" xfId="0" applyFont="1" applyFill="1" applyBorder="1"/>
    <xf numFmtId="0" fontId="3" fillId="37" borderId="24" xfId="0" applyFont="1" applyFill="1" applyBorder="1"/>
    <xf numFmtId="0" fontId="3" fillId="37" borderId="28" xfId="0" applyFont="1" applyFill="1" applyBorder="1"/>
    <xf numFmtId="2" fontId="0" fillId="0" borderId="27" xfId="0" applyNumberFormat="1" applyBorder="1" applyAlignment="1">
      <alignment horizontal="center"/>
    </xf>
    <xf numFmtId="2" fontId="0" fillId="0" borderId="58" xfId="0" applyNumberFormat="1" applyBorder="1" applyAlignment="1">
      <alignment horizontal="center"/>
    </xf>
    <xf numFmtId="2" fontId="0" fillId="0" borderId="26" xfId="0" applyNumberFormat="1" applyBorder="1" applyAlignment="1">
      <alignment horizontal="center"/>
    </xf>
    <xf numFmtId="2" fontId="0" fillId="0" borderId="21" xfId="0" applyNumberFormat="1" applyBorder="1" applyAlignment="1">
      <alignment horizontal="center"/>
    </xf>
    <xf numFmtId="2" fontId="0" fillId="0" borderId="22" xfId="0" applyNumberFormat="1" applyBorder="1" applyAlignment="1">
      <alignment horizontal="center"/>
    </xf>
    <xf numFmtId="2" fontId="0" fillId="52" borderId="8" xfId="0" applyNumberFormat="1" applyFill="1" applyBorder="1" applyAlignment="1">
      <alignment horizontal="center"/>
    </xf>
    <xf numFmtId="2" fontId="0" fillId="52" borderId="10" xfId="0" applyNumberFormat="1" applyFill="1" applyBorder="1" applyAlignment="1">
      <alignment horizontal="center"/>
    </xf>
    <xf numFmtId="2" fontId="0" fillId="52" borderId="22" xfId="0" applyNumberFormat="1" applyFill="1" applyBorder="1" applyAlignment="1">
      <alignment horizontal="center"/>
    </xf>
    <xf numFmtId="2" fontId="0" fillId="52" borderId="59" xfId="0" applyNumberFormat="1" applyFill="1" applyBorder="1" applyAlignment="1">
      <alignment horizontal="center"/>
    </xf>
    <xf numFmtId="2" fontId="0" fillId="52" borderId="45" xfId="0" applyNumberFormat="1" applyFill="1" applyBorder="1" applyAlignment="1">
      <alignment horizontal="center"/>
    </xf>
    <xf numFmtId="2" fontId="0" fillId="52" borderId="43" xfId="0" applyNumberFormat="1" applyFill="1" applyBorder="1" applyAlignment="1">
      <alignment horizontal="center"/>
    </xf>
    <xf numFmtId="2" fontId="0" fillId="14" borderId="27" xfId="0" applyNumberFormat="1" applyFill="1" applyBorder="1" applyAlignment="1">
      <alignment horizontal="center"/>
    </xf>
    <xf numFmtId="2" fontId="0" fillId="14" borderId="8" xfId="0" applyNumberFormat="1" applyFill="1" applyBorder="1" applyAlignment="1">
      <alignment horizontal="center"/>
    </xf>
    <xf numFmtId="2" fontId="0" fillId="14" borderId="22" xfId="0" applyNumberFormat="1" applyFill="1" applyBorder="1" applyAlignment="1">
      <alignment horizontal="center"/>
    </xf>
    <xf numFmtId="2" fontId="0" fillId="14" borderId="53" xfId="0" applyNumberFormat="1" applyFill="1" applyBorder="1" applyAlignment="1">
      <alignment horizontal="center"/>
    </xf>
    <xf numFmtId="2" fontId="0" fillId="14" borderId="45" xfId="0" applyNumberFormat="1" applyFill="1" applyBorder="1" applyAlignment="1">
      <alignment horizontal="center"/>
    </xf>
    <xf numFmtId="2" fontId="0" fillId="14" borderId="43" xfId="0" applyNumberFormat="1" applyFill="1" applyBorder="1" applyAlignment="1">
      <alignment horizontal="center"/>
    </xf>
    <xf numFmtId="1" fontId="0" fillId="0" borderId="61" xfId="0" applyNumberFormat="1" applyBorder="1" applyAlignment="1">
      <alignment horizontal="center" vertical="center"/>
    </xf>
    <xf numFmtId="2" fontId="0" fillId="0" borderId="81" xfId="0" applyNumberFormat="1" applyBorder="1"/>
    <xf numFmtId="2" fontId="0" fillId="4" borderId="81" xfId="0" applyNumberFormat="1" applyFill="1" applyBorder="1"/>
    <xf numFmtId="2" fontId="0" fillId="0" borderId="82" xfId="0" applyNumberFormat="1" applyBorder="1"/>
    <xf numFmtId="2" fontId="0" fillId="4" borderId="83" xfId="0" applyNumberFormat="1" applyFill="1" applyBorder="1"/>
    <xf numFmtId="2" fontId="0" fillId="0" borderId="1" xfId="0" applyNumberFormat="1" applyBorder="1"/>
    <xf numFmtId="2" fontId="0" fillId="4" borderId="1" xfId="0" applyNumberFormat="1" applyFill="1" applyBorder="1"/>
    <xf numFmtId="2" fontId="0" fillId="0" borderId="84" xfId="0" applyNumberFormat="1" applyBorder="1"/>
    <xf numFmtId="2" fontId="0" fillId="4" borderId="8" xfId="0" applyNumberFormat="1" applyFill="1" applyBorder="1"/>
    <xf numFmtId="2" fontId="0" fillId="0" borderId="8" xfId="0" applyNumberFormat="1" applyBorder="1"/>
    <xf numFmtId="2" fontId="0" fillId="4" borderId="27" xfId="0" applyNumberFormat="1" applyFill="1" applyBorder="1"/>
    <xf numFmtId="2" fontId="0" fillId="0" borderId="27" xfId="0" applyNumberFormat="1" applyBorder="1"/>
    <xf numFmtId="2" fontId="0" fillId="0" borderId="53" xfId="0" applyNumberFormat="1" applyBorder="1"/>
    <xf numFmtId="2" fontId="0" fillId="4" borderId="63" xfId="0" applyNumberFormat="1" applyFill="1" applyBorder="1"/>
    <xf numFmtId="0" fontId="3" fillId="55" borderId="25" xfId="0" applyFont="1" applyFill="1" applyBorder="1" applyAlignment="1">
      <alignment vertical="center" wrapText="1"/>
    </xf>
    <xf numFmtId="0" fontId="3" fillId="54" borderId="30" xfId="0" applyFont="1" applyFill="1" applyBorder="1" applyAlignment="1">
      <alignment horizontal="center" vertical="center"/>
    </xf>
    <xf numFmtId="2" fontId="0" fillId="4" borderId="13" xfId="0" applyNumberFormat="1" applyFill="1" applyBorder="1"/>
    <xf numFmtId="2" fontId="0" fillId="4" borderId="85" xfId="0" applyNumberFormat="1" applyFill="1" applyBorder="1"/>
    <xf numFmtId="2" fontId="0" fillId="0" borderId="45" xfId="0" applyNumberFormat="1" applyBorder="1"/>
    <xf numFmtId="0" fontId="0" fillId="0" borderId="50" xfId="0" applyBorder="1"/>
    <xf numFmtId="0" fontId="0" fillId="0" borderId="87" xfId="0" applyBorder="1" applyAlignment="1">
      <alignment horizontal="center"/>
    </xf>
    <xf numFmtId="0" fontId="0" fillId="0" borderId="53" xfId="0" applyBorder="1" applyAlignment="1">
      <alignment horizontal="center"/>
    </xf>
    <xf numFmtId="2" fontId="0" fillId="0" borderId="60" xfId="0" applyNumberFormat="1" applyBorder="1" applyAlignment="1">
      <alignment horizontal="center"/>
    </xf>
    <xf numFmtId="2" fontId="0" fillId="0" borderId="61" xfId="0" applyNumberFormat="1" applyBorder="1" applyAlignment="1">
      <alignment horizontal="center"/>
    </xf>
    <xf numFmtId="2" fontId="0" fillId="0" borderId="62" xfId="0" applyNumberFormat="1" applyBorder="1" applyAlignment="1">
      <alignment horizontal="center"/>
    </xf>
    <xf numFmtId="0" fontId="0" fillId="25" borderId="0" xfId="0" applyFill="1" applyAlignment="1" applyProtection="1">
      <alignment horizontal="right"/>
      <protection locked="0"/>
    </xf>
    <xf numFmtId="0" fontId="0" fillId="10" borderId="58" xfId="0" applyFill="1" applyBorder="1" applyAlignment="1">
      <alignment horizontal="center"/>
    </xf>
    <xf numFmtId="165" fontId="0" fillId="0" borderId="0" xfId="0" applyNumberFormat="1" applyAlignment="1">
      <alignment horizontal="center" vertical="center"/>
    </xf>
    <xf numFmtId="0" fontId="0" fillId="24" borderId="61" xfId="0" applyFill="1" applyBorder="1" applyAlignment="1">
      <alignment horizontal="center"/>
    </xf>
    <xf numFmtId="0" fontId="0" fillId="24" borderId="62" xfId="0" applyFill="1" applyBorder="1" applyAlignment="1">
      <alignment horizontal="center"/>
    </xf>
    <xf numFmtId="0" fontId="0" fillId="37" borderId="24" xfId="0" applyFill="1" applyBorder="1"/>
    <xf numFmtId="0" fontId="0" fillId="37" borderId="30" xfId="0" applyFill="1" applyBorder="1" applyAlignment="1">
      <alignment horizontal="center"/>
    </xf>
    <xf numFmtId="0" fontId="0" fillId="10" borderId="88" xfId="0" applyFill="1" applyBorder="1" applyAlignment="1">
      <alignment horizontal="center"/>
    </xf>
    <xf numFmtId="165" fontId="0" fillId="24" borderId="8" xfId="0" applyNumberFormat="1" applyFill="1" applyBorder="1" applyAlignment="1">
      <alignment horizontal="center"/>
    </xf>
    <xf numFmtId="0" fontId="0" fillId="24" borderId="27" xfId="0" applyFill="1" applyBorder="1" applyAlignment="1">
      <alignment horizontal="center"/>
    </xf>
    <xf numFmtId="0" fontId="0" fillId="10" borderId="27" xfId="0" applyFill="1" applyBorder="1" applyAlignment="1">
      <alignment horizontal="center"/>
    </xf>
    <xf numFmtId="0" fontId="0" fillId="24" borderId="60" xfId="0" applyFill="1" applyBorder="1" applyAlignment="1">
      <alignment horizontal="center"/>
    </xf>
    <xf numFmtId="165" fontId="0" fillId="24" borderId="27" xfId="0" applyNumberFormat="1" applyFill="1" applyBorder="1" applyAlignment="1">
      <alignment horizontal="center"/>
    </xf>
    <xf numFmtId="0" fontId="0" fillId="0" borderId="69" xfId="0" applyBorder="1" applyAlignment="1">
      <alignment horizontal="center"/>
    </xf>
    <xf numFmtId="1" fontId="0" fillId="0" borderId="53" xfId="0" applyNumberFormat="1" applyBorder="1" applyAlignment="1">
      <alignment horizontal="center" vertical="center"/>
    </xf>
    <xf numFmtId="2" fontId="0" fillId="0" borderId="50" xfId="0" applyNumberFormat="1" applyBorder="1" applyAlignment="1">
      <alignment horizontal="center"/>
    </xf>
    <xf numFmtId="2" fontId="0" fillId="0" borderId="89" xfId="0" applyNumberFormat="1" applyBorder="1" applyAlignment="1">
      <alignment horizontal="center"/>
    </xf>
    <xf numFmtId="2" fontId="0" fillId="0" borderId="6" xfId="0" applyNumberFormat="1" applyBorder="1" applyAlignment="1">
      <alignment horizontal="center"/>
    </xf>
    <xf numFmtId="1" fontId="0" fillId="24" borderId="22" xfId="0" applyNumberFormat="1" applyFill="1" applyBorder="1" applyAlignment="1">
      <alignment horizontal="center"/>
    </xf>
    <xf numFmtId="0" fontId="3" fillId="32" borderId="92" xfId="0" applyFont="1" applyFill="1" applyBorder="1" applyAlignment="1">
      <alignment wrapText="1"/>
    </xf>
    <xf numFmtId="0" fontId="0" fillId="24" borderId="60" xfId="0" applyFill="1" applyBorder="1"/>
    <xf numFmtId="0" fontId="0" fillId="24" borderId="86" xfId="0" applyFill="1" applyBorder="1" applyAlignment="1">
      <alignment horizontal="center"/>
    </xf>
    <xf numFmtId="0" fontId="0" fillId="24" borderId="9" xfId="0" applyFill="1" applyBorder="1" applyAlignment="1">
      <alignment horizontal="center"/>
    </xf>
    <xf numFmtId="0" fontId="0" fillId="24" borderId="70" xfId="0" applyFill="1" applyBorder="1" applyAlignment="1">
      <alignment horizontal="center"/>
    </xf>
    <xf numFmtId="2" fontId="0" fillId="0" borderId="37" xfId="0" applyNumberFormat="1" applyBorder="1" applyAlignment="1">
      <alignment horizontal="center"/>
    </xf>
    <xf numFmtId="2" fontId="0" fillId="0" borderId="10" xfId="0" applyNumberFormat="1" applyBorder="1" applyAlignment="1">
      <alignment horizontal="center"/>
    </xf>
    <xf numFmtId="2" fontId="0" fillId="24" borderId="59" xfId="0" applyNumberFormat="1" applyFill="1" applyBorder="1" applyAlignment="1">
      <alignment horizontal="center"/>
    </xf>
    <xf numFmtId="0" fontId="31" fillId="10" borderId="0" xfId="0" applyFont="1" applyFill="1" applyAlignment="1">
      <alignment horizontal="center" vertical="center" wrapText="1"/>
    </xf>
    <xf numFmtId="2" fontId="0" fillId="10" borderId="0" xfId="0" applyNumberFormat="1" applyFill="1" applyAlignment="1">
      <alignment horizontal="center" vertical="center"/>
    </xf>
    <xf numFmtId="0" fontId="0" fillId="32" borderId="93" xfId="0" applyFill="1" applyBorder="1" applyAlignment="1">
      <alignment horizontal="center" vertical="center"/>
    </xf>
    <xf numFmtId="0" fontId="44" fillId="46" borderId="0" xfId="0" applyFont="1" applyFill="1" applyAlignment="1" applyProtection="1">
      <alignment horizontal="center" vertical="center"/>
      <protection locked="0"/>
    </xf>
    <xf numFmtId="0" fontId="44" fillId="46" borderId="0" xfId="0" applyFont="1" applyFill="1" applyAlignment="1" applyProtection="1">
      <alignment horizontal="center"/>
      <protection locked="0"/>
    </xf>
    <xf numFmtId="4" fontId="0" fillId="10" borderId="0" xfId="0" applyNumberFormat="1" applyFill="1" applyProtection="1">
      <protection locked="0"/>
    </xf>
    <xf numFmtId="20" fontId="0" fillId="0" borderId="0" xfId="0" applyNumberFormat="1" applyProtection="1">
      <protection locked="0"/>
    </xf>
    <xf numFmtId="0" fontId="0" fillId="38" borderId="8" xfId="0" applyFill="1" applyBorder="1" applyAlignment="1" applyProtection="1">
      <alignment horizontal="center"/>
      <protection locked="0"/>
    </xf>
    <xf numFmtId="0" fontId="0" fillId="50" borderId="8" xfId="0" applyFill="1" applyBorder="1" applyAlignment="1" applyProtection="1">
      <alignment horizontal="center"/>
      <protection locked="0"/>
    </xf>
    <xf numFmtId="0" fontId="0" fillId="48" borderId="8" xfId="0" applyFill="1" applyBorder="1" applyAlignment="1" applyProtection="1">
      <alignment horizontal="center"/>
      <protection locked="0"/>
    </xf>
    <xf numFmtId="0" fontId="0" fillId="47" borderId="8" xfId="0" applyFill="1" applyBorder="1" applyProtection="1">
      <protection locked="0"/>
    </xf>
    <xf numFmtId="0" fontId="0" fillId="19" borderId="8" xfId="0" applyFill="1" applyBorder="1" applyAlignment="1" applyProtection="1">
      <alignment horizontal="center"/>
      <protection locked="0"/>
    </xf>
    <xf numFmtId="0" fontId="0" fillId="39" borderId="8" xfId="0" applyFill="1" applyBorder="1" applyAlignment="1" applyProtection="1">
      <alignment horizontal="center"/>
      <protection locked="0"/>
    </xf>
    <xf numFmtId="0" fontId="0" fillId="49" borderId="8" xfId="0" applyFill="1" applyBorder="1" applyAlignment="1" applyProtection="1">
      <alignment horizontal="center"/>
      <protection locked="0"/>
    </xf>
    <xf numFmtId="0" fontId="0" fillId="40" borderId="8" xfId="0" applyFill="1" applyBorder="1" applyAlignment="1" applyProtection="1">
      <alignment horizontal="center"/>
      <protection locked="0"/>
    </xf>
    <xf numFmtId="0" fontId="0" fillId="42" borderId="8" xfId="0" applyFill="1" applyBorder="1" applyAlignment="1" applyProtection="1">
      <alignment horizontal="center"/>
      <protection locked="0"/>
    </xf>
    <xf numFmtId="0" fontId="0" fillId="0" borderId="0" xfId="0" applyAlignment="1" applyProtection="1">
      <alignment horizontal="center"/>
      <protection locked="0"/>
    </xf>
    <xf numFmtId="0" fontId="44" fillId="0" borderId="8" xfId="0" applyFont="1" applyBorder="1" applyAlignment="1" applyProtection="1">
      <alignment horizontal="center"/>
      <protection locked="0"/>
    </xf>
    <xf numFmtId="0" fontId="0" fillId="0" borderId="8" xfId="0" applyBorder="1" applyAlignment="1" applyProtection="1">
      <alignment horizontal="center"/>
      <protection locked="0"/>
    </xf>
    <xf numFmtId="20" fontId="0" fillId="27" borderId="94" xfId="0" applyNumberFormat="1" applyFill="1" applyBorder="1" applyAlignment="1">
      <alignment horizontal="center"/>
    </xf>
    <xf numFmtId="20" fontId="0" fillId="10" borderId="95" xfId="0" applyNumberFormat="1" applyFill="1" applyBorder="1" applyAlignment="1">
      <alignment horizontal="center"/>
    </xf>
    <xf numFmtId="20" fontId="0" fillId="27" borderId="95" xfId="0" applyNumberFormat="1" applyFill="1" applyBorder="1" applyAlignment="1">
      <alignment horizontal="center"/>
    </xf>
    <xf numFmtId="20" fontId="0" fillId="10" borderId="96" xfId="0" applyNumberFormat="1" applyFill="1" applyBorder="1" applyAlignment="1">
      <alignment horizontal="center"/>
    </xf>
    <xf numFmtId="20" fontId="0" fillId="27" borderId="8" xfId="0" applyNumberFormat="1" applyFill="1" applyBorder="1" applyAlignment="1">
      <alignment horizontal="center"/>
    </xf>
    <xf numFmtId="20" fontId="0" fillId="10" borderId="8" xfId="0" applyNumberFormat="1" applyFill="1" applyBorder="1" applyAlignment="1">
      <alignment horizontal="center"/>
    </xf>
    <xf numFmtId="1" fontId="0" fillId="0" borderId="62" xfId="0" applyNumberFormat="1" applyBorder="1" applyAlignment="1">
      <alignment horizontal="center" vertical="center"/>
    </xf>
    <xf numFmtId="4" fontId="0" fillId="0" borderId="27" xfId="0" applyNumberFormat="1" applyBorder="1" applyAlignment="1">
      <alignment horizontal="center"/>
    </xf>
    <xf numFmtId="4" fontId="0" fillId="0" borderId="8" xfId="0" applyNumberFormat="1" applyBorder="1" applyAlignment="1">
      <alignment horizontal="center"/>
    </xf>
    <xf numFmtId="4" fontId="0" fillId="0" borderId="22" xfId="0" applyNumberFormat="1" applyBorder="1" applyAlignment="1">
      <alignment horizontal="center"/>
    </xf>
    <xf numFmtId="4" fontId="0" fillId="24" borderId="27" xfId="0" applyNumberFormat="1" applyFill="1" applyBorder="1" applyAlignment="1">
      <alignment horizontal="center"/>
    </xf>
    <xf numFmtId="4" fontId="0" fillId="24" borderId="8" xfId="0" applyNumberFormat="1" applyFill="1" applyBorder="1" applyAlignment="1">
      <alignment horizontal="center"/>
    </xf>
    <xf numFmtId="4" fontId="0" fillId="24" borderId="22" xfId="0" applyNumberFormat="1" applyFill="1" applyBorder="1" applyAlignment="1">
      <alignment horizontal="center"/>
    </xf>
    <xf numFmtId="3" fontId="0" fillId="24" borderId="58" xfId="0" applyNumberFormat="1" applyFill="1" applyBorder="1" applyAlignment="1">
      <alignment horizontal="center"/>
    </xf>
    <xf numFmtId="3" fontId="0" fillId="24" borderId="26" xfId="0" applyNumberFormat="1" applyFill="1" applyBorder="1" applyAlignment="1">
      <alignment horizontal="center"/>
    </xf>
    <xf numFmtId="3" fontId="0" fillId="24" borderId="21" xfId="0" applyNumberFormat="1" applyFill="1" applyBorder="1" applyAlignment="1">
      <alignment horizontal="center"/>
    </xf>
    <xf numFmtId="3" fontId="0" fillId="0" borderId="37" xfId="0" applyNumberFormat="1" applyBorder="1" applyAlignment="1">
      <alignment horizontal="center" vertical="center"/>
    </xf>
    <xf numFmtId="3" fontId="0" fillId="0" borderId="26" xfId="0" applyNumberFormat="1" applyBorder="1" applyAlignment="1">
      <alignment horizontal="center" vertical="center"/>
    </xf>
    <xf numFmtId="3" fontId="0" fillId="0" borderId="21" xfId="0" applyNumberFormat="1" applyBorder="1" applyAlignment="1">
      <alignment horizontal="center" vertical="center"/>
    </xf>
    <xf numFmtId="3" fontId="0" fillId="24" borderId="10" xfId="0" applyNumberFormat="1" applyFill="1" applyBorder="1" applyAlignment="1">
      <alignment horizontal="center" vertical="center"/>
    </xf>
    <xf numFmtId="3" fontId="0" fillId="24" borderId="8" xfId="0" applyNumberFormat="1" applyFill="1" applyBorder="1" applyAlignment="1">
      <alignment horizontal="center" vertical="center"/>
    </xf>
    <xf numFmtId="3" fontId="0" fillId="24" borderId="22" xfId="0" applyNumberFormat="1" applyFill="1" applyBorder="1" applyAlignment="1">
      <alignment horizontal="center" vertical="center"/>
    </xf>
    <xf numFmtId="3" fontId="0" fillId="0" borderId="10" xfId="0" applyNumberFormat="1" applyBorder="1" applyAlignment="1">
      <alignment horizontal="center" vertical="center"/>
    </xf>
    <xf numFmtId="3" fontId="0" fillId="0" borderId="8" xfId="0" applyNumberFormat="1" applyBorder="1" applyAlignment="1">
      <alignment horizontal="center" vertical="center"/>
    </xf>
    <xf numFmtId="3" fontId="0" fillId="0" borderId="22" xfId="0" applyNumberFormat="1" applyBorder="1" applyAlignment="1">
      <alignment horizontal="center" vertical="center"/>
    </xf>
    <xf numFmtId="3" fontId="0" fillId="24" borderId="65" xfId="0" applyNumberFormat="1" applyFill="1" applyBorder="1" applyAlignment="1">
      <alignment horizontal="center" vertical="center"/>
    </xf>
    <xf numFmtId="3" fontId="0" fillId="24" borderId="61" xfId="0" applyNumberFormat="1" applyFill="1" applyBorder="1" applyAlignment="1">
      <alignment horizontal="center" vertical="center"/>
    </xf>
    <xf numFmtId="3" fontId="0" fillId="24" borderId="62" xfId="0" applyNumberFormat="1" applyFill="1" applyBorder="1" applyAlignment="1">
      <alignment horizontal="center" vertical="center"/>
    </xf>
    <xf numFmtId="0" fontId="0" fillId="56" borderId="23" xfId="0" applyFill="1" applyBorder="1"/>
    <xf numFmtId="0" fontId="0" fillId="56" borderId="24" xfId="0" applyFill="1" applyBorder="1"/>
    <xf numFmtId="0" fontId="0" fillId="56" borderId="37" xfId="0" applyFill="1" applyBorder="1" applyAlignment="1">
      <alignment horizontal="center"/>
    </xf>
    <xf numFmtId="0" fontId="0" fillId="56" borderId="26" xfId="0" applyFill="1" applyBorder="1" applyAlignment="1">
      <alignment horizontal="center"/>
    </xf>
    <xf numFmtId="0" fontId="0" fillId="56" borderId="21" xfId="0" applyFill="1" applyBorder="1" applyAlignment="1">
      <alignment horizontal="center"/>
    </xf>
    <xf numFmtId="0" fontId="0" fillId="56" borderId="25" xfId="0" applyFill="1" applyBorder="1"/>
    <xf numFmtId="0" fontId="0" fillId="56" borderId="28" xfId="0" applyFill="1" applyBorder="1"/>
    <xf numFmtId="2" fontId="0" fillId="56" borderId="10" xfId="0" applyNumberFormat="1" applyFill="1" applyBorder="1" applyAlignment="1">
      <alignment horizontal="center"/>
    </xf>
    <xf numFmtId="2" fontId="0" fillId="56" borderId="8" xfId="0" applyNumberFormat="1" applyFill="1" applyBorder="1" applyAlignment="1">
      <alignment horizontal="center"/>
    </xf>
    <xf numFmtId="2" fontId="0" fillId="56" borderId="22" xfId="0" applyNumberFormat="1" applyFill="1" applyBorder="1" applyAlignment="1">
      <alignment horizontal="center"/>
    </xf>
    <xf numFmtId="0" fontId="0" fillId="56" borderId="31" xfId="0" applyFill="1" applyBorder="1"/>
    <xf numFmtId="0" fontId="0" fillId="56" borderId="30" xfId="0" applyFill="1" applyBorder="1"/>
    <xf numFmtId="2" fontId="0" fillId="56" borderId="59" xfId="0" applyNumberFormat="1" applyFill="1" applyBorder="1" applyAlignment="1">
      <alignment horizontal="center"/>
    </xf>
    <xf numFmtId="2" fontId="0" fillId="56" borderId="45" xfId="0" applyNumberFormat="1" applyFill="1" applyBorder="1" applyAlignment="1">
      <alignment horizontal="center"/>
    </xf>
    <xf numFmtId="2" fontId="0" fillId="56" borderId="43" xfId="0" applyNumberFormat="1" applyFill="1" applyBorder="1" applyAlignment="1">
      <alignment horizontal="center"/>
    </xf>
    <xf numFmtId="2" fontId="0" fillId="56" borderId="65" xfId="0" applyNumberFormat="1" applyFill="1" applyBorder="1" applyAlignment="1">
      <alignment horizontal="center"/>
    </xf>
    <xf numFmtId="2" fontId="0" fillId="56" borderId="61" xfId="0" applyNumberFormat="1" applyFill="1" applyBorder="1" applyAlignment="1">
      <alignment horizontal="center"/>
    </xf>
    <xf numFmtId="2" fontId="0" fillId="56" borderId="62" xfId="0" applyNumberFormat="1" applyFill="1" applyBorder="1" applyAlignment="1">
      <alignment horizontal="center"/>
    </xf>
    <xf numFmtId="0" fontId="55" fillId="0" borderId="0" xfId="0" applyFont="1"/>
    <xf numFmtId="2" fontId="0" fillId="24" borderId="60" xfId="0" applyNumberFormat="1" applyFill="1" applyBorder="1" applyAlignment="1">
      <alignment horizontal="center"/>
    </xf>
    <xf numFmtId="2" fontId="0" fillId="24" borderId="61" xfId="0" applyNumberFormat="1" applyFill="1" applyBorder="1" applyAlignment="1">
      <alignment horizontal="center"/>
    </xf>
    <xf numFmtId="2" fontId="0" fillId="24" borderId="62" xfId="0" applyNumberFormat="1" applyFill="1" applyBorder="1" applyAlignment="1">
      <alignment horizontal="center"/>
    </xf>
    <xf numFmtId="0" fontId="31" fillId="34" borderId="8" xfId="0" applyFont="1" applyFill="1" applyBorder="1" applyAlignment="1">
      <alignment horizontal="center" vertical="center" wrapText="1"/>
    </xf>
    <xf numFmtId="0" fontId="55" fillId="10" borderId="0" xfId="0" applyFont="1" applyFill="1" applyAlignment="1">
      <alignment horizontal="left"/>
    </xf>
    <xf numFmtId="165" fontId="0" fillId="24" borderId="57" xfId="0" applyNumberFormat="1" applyFill="1" applyBorder="1" applyAlignment="1">
      <alignment horizontal="center"/>
    </xf>
    <xf numFmtId="165" fontId="0" fillId="24" borderId="49" xfId="0" applyNumberFormat="1" applyFill="1" applyBorder="1" applyAlignment="1">
      <alignment horizontal="center"/>
    </xf>
    <xf numFmtId="1" fontId="0" fillId="24" borderId="91" xfId="0" applyNumberFormat="1" applyFill="1" applyBorder="1" applyAlignment="1">
      <alignment horizontal="center"/>
    </xf>
    <xf numFmtId="0" fontId="0" fillId="15" borderId="25" xfId="0" applyFill="1" applyBorder="1"/>
    <xf numFmtId="0" fontId="0" fillId="15" borderId="28" xfId="0" applyFill="1" applyBorder="1"/>
    <xf numFmtId="2" fontId="0" fillId="15" borderId="11" xfId="0" applyNumberFormat="1" applyFill="1" applyBorder="1" applyAlignment="1">
      <alignment horizontal="center"/>
    </xf>
    <xf numFmtId="2" fontId="0" fillId="15" borderId="12" xfId="0" applyNumberFormat="1" applyFill="1" applyBorder="1" applyAlignment="1">
      <alignment horizontal="center"/>
    </xf>
    <xf numFmtId="2" fontId="0" fillId="15" borderId="88" xfId="0" applyNumberFormat="1" applyFill="1" applyBorder="1" applyAlignment="1">
      <alignment horizontal="center"/>
    </xf>
    <xf numFmtId="2" fontId="0" fillId="15" borderId="10" xfId="0" applyNumberFormat="1" applyFill="1" applyBorder="1" applyAlignment="1">
      <alignment horizontal="center"/>
    </xf>
    <xf numFmtId="0" fontId="31" fillId="34" borderId="8" xfId="0" applyFont="1" applyFill="1" applyBorder="1" applyAlignment="1">
      <alignment horizontal="center" vertical="center"/>
    </xf>
    <xf numFmtId="2" fontId="31" fillId="41" borderId="8" xfId="0" applyNumberFormat="1" applyFont="1" applyFill="1" applyBorder="1" applyAlignment="1">
      <alignment horizontal="center" vertical="center"/>
    </xf>
    <xf numFmtId="2" fontId="31" fillId="57" borderId="8" xfId="0" applyNumberFormat="1" applyFont="1" applyFill="1" applyBorder="1" applyAlignment="1">
      <alignment horizontal="center" vertical="center"/>
    </xf>
    <xf numFmtId="0" fontId="31" fillId="32" borderId="8" xfId="0" applyFont="1" applyFill="1" applyBorder="1" applyAlignment="1">
      <alignment horizontal="center" vertical="center" wrapText="1"/>
    </xf>
    <xf numFmtId="2" fontId="31" fillId="36" borderId="8" xfId="0" applyNumberFormat="1" applyFont="1" applyFill="1" applyBorder="1" applyAlignment="1">
      <alignment horizontal="center" vertical="center"/>
    </xf>
    <xf numFmtId="2" fontId="0" fillId="36" borderId="8" xfId="0" applyNumberFormat="1" applyFill="1" applyBorder="1" applyAlignment="1">
      <alignment horizontal="center" vertical="center"/>
    </xf>
    <xf numFmtId="2" fontId="31" fillId="36" borderId="8" xfId="0" applyNumberFormat="1" applyFont="1" applyFill="1" applyBorder="1" applyAlignment="1">
      <alignment horizontal="center" vertical="center" wrapText="1"/>
    </xf>
    <xf numFmtId="2" fontId="53" fillId="10" borderId="0" xfId="0" applyNumberFormat="1" applyFont="1" applyFill="1" applyAlignment="1">
      <alignment horizontal="left"/>
    </xf>
    <xf numFmtId="0" fontId="53" fillId="0" borderId="0" xfId="0" applyFont="1"/>
    <xf numFmtId="0" fontId="3" fillId="34" borderId="9" xfId="0" applyFont="1" applyFill="1" applyBorder="1" applyAlignment="1">
      <alignment wrapText="1"/>
    </xf>
    <xf numFmtId="0" fontId="3" fillId="34" borderId="9" xfId="0" applyFont="1" applyFill="1" applyBorder="1" applyAlignment="1">
      <alignment vertical="center"/>
    </xf>
    <xf numFmtId="0" fontId="0" fillId="33" borderId="9" xfId="0" applyFill="1" applyBorder="1"/>
    <xf numFmtId="0" fontId="11" fillId="33" borderId="9" xfId="0" applyFont="1" applyFill="1" applyBorder="1" applyAlignment="1">
      <alignment vertical="center" wrapText="1"/>
    </xf>
    <xf numFmtId="0" fontId="0" fillId="34" borderId="20" xfId="0" applyFill="1" applyBorder="1" applyAlignment="1">
      <alignment horizontal="center" vertical="center"/>
    </xf>
    <xf numFmtId="0" fontId="31" fillId="34" borderId="18" xfId="0" applyFont="1" applyFill="1" applyBorder="1" applyAlignment="1">
      <alignment horizontal="center" vertical="center"/>
    </xf>
    <xf numFmtId="0" fontId="30" fillId="35" borderId="20" xfId="0" applyFont="1" applyFill="1" applyBorder="1" applyAlignment="1">
      <alignment horizontal="center" vertical="center" wrapText="1"/>
    </xf>
    <xf numFmtId="2" fontId="0" fillId="36" borderId="20" xfId="0" applyNumberFormat="1" applyFill="1" applyBorder="1"/>
    <xf numFmtId="2" fontId="0" fillId="36" borderId="19" xfId="0" applyNumberFormat="1" applyFill="1" applyBorder="1"/>
    <xf numFmtId="2" fontId="31" fillId="34" borderId="8" xfId="0" applyNumberFormat="1" applyFont="1" applyFill="1" applyBorder="1" applyAlignment="1">
      <alignment horizontal="center" vertical="center"/>
    </xf>
    <xf numFmtId="2" fontId="31" fillId="32" borderId="8" xfId="0" applyNumberFormat="1" applyFont="1" applyFill="1" applyBorder="1" applyAlignment="1">
      <alignment horizontal="center" vertical="center" wrapText="1"/>
    </xf>
    <xf numFmtId="2" fontId="31" fillId="32" borderId="8" xfId="0" applyNumberFormat="1" applyFont="1" applyFill="1" applyBorder="1" applyAlignment="1">
      <alignment horizontal="center" vertical="center"/>
    </xf>
    <xf numFmtId="0" fontId="55" fillId="10" borderId="0" xfId="0" applyFont="1" applyFill="1" applyAlignment="1">
      <alignment horizontal="right"/>
    </xf>
    <xf numFmtId="2" fontId="55" fillId="10" borderId="0" xfId="0" applyNumberFormat="1" applyFont="1" applyFill="1" applyAlignment="1">
      <alignment horizontal="center"/>
    </xf>
    <xf numFmtId="0" fontId="55" fillId="10" borderId="0" xfId="0" applyFont="1" applyFill="1" applyAlignment="1">
      <alignment horizontal="center"/>
    </xf>
    <xf numFmtId="1" fontId="0" fillId="0" borderId="0" xfId="0" applyNumberFormat="1" applyAlignment="1">
      <alignment horizontal="right"/>
    </xf>
    <xf numFmtId="0" fontId="61" fillId="0" borderId="16" xfId="0" applyFont="1" applyBorder="1" applyAlignment="1">
      <alignment horizontal="left" vertical="center" wrapText="1" indent="1" readingOrder="1"/>
    </xf>
    <xf numFmtId="0" fontId="62" fillId="0" borderId="8" xfId="0" applyFont="1" applyBorder="1" applyAlignment="1">
      <alignment horizontal="left" vertical="center" wrapText="1" indent="1" readingOrder="1"/>
    </xf>
    <xf numFmtId="0" fontId="62" fillId="0" borderId="8" xfId="0" applyFont="1" applyBorder="1" applyAlignment="1">
      <alignment vertical="center" wrapText="1" readingOrder="1"/>
    </xf>
    <xf numFmtId="3" fontId="62" fillId="0" borderId="8" xfId="0" applyNumberFormat="1" applyFont="1" applyBorder="1" applyAlignment="1">
      <alignment horizontal="left" vertical="center" wrapText="1" indent="1" readingOrder="1"/>
    </xf>
    <xf numFmtId="3" fontId="62" fillId="0" borderId="8" xfId="0" applyNumberFormat="1" applyFont="1" applyBorder="1" applyAlignment="1">
      <alignment vertical="center" wrapText="1" readingOrder="1"/>
    </xf>
    <xf numFmtId="0" fontId="61" fillId="0" borderId="8" xfId="0" applyFont="1" applyBorder="1" applyAlignment="1">
      <alignment horizontal="left" vertical="center" wrapText="1" indent="1" readingOrder="1"/>
    </xf>
    <xf numFmtId="0" fontId="61" fillId="58" borderId="8" xfId="0" applyFont="1" applyFill="1" applyBorder="1" applyAlignment="1">
      <alignment horizontal="left" vertical="center" wrapText="1" indent="1" readingOrder="1"/>
    </xf>
    <xf numFmtId="0" fontId="62" fillId="58" borderId="8" xfId="0" applyFont="1" applyFill="1" applyBorder="1" applyAlignment="1">
      <alignment horizontal="left" vertical="center" wrapText="1" indent="1" readingOrder="1"/>
    </xf>
    <xf numFmtId="0" fontId="62" fillId="58" borderId="8" xfId="0" applyFont="1" applyFill="1" applyBorder="1" applyAlignment="1">
      <alignment vertical="center" wrapText="1" readingOrder="1"/>
    </xf>
    <xf numFmtId="3" fontId="62" fillId="58" borderId="8" xfId="0" applyNumberFormat="1" applyFont="1" applyFill="1" applyBorder="1" applyAlignment="1">
      <alignment horizontal="left" vertical="center" wrapText="1" indent="1" readingOrder="1"/>
    </xf>
    <xf numFmtId="3" fontId="62" fillId="58" borderId="8" xfId="0" applyNumberFormat="1" applyFont="1" applyFill="1" applyBorder="1" applyAlignment="1">
      <alignment vertical="center" wrapText="1" readingOrder="1"/>
    </xf>
    <xf numFmtId="0" fontId="61" fillId="0" borderId="0" xfId="0" applyFont="1" applyAlignment="1">
      <alignment horizontal="left" vertical="center" wrapText="1" indent="1" readingOrder="1"/>
    </xf>
    <xf numFmtId="0" fontId="61" fillId="0" borderId="16" xfId="0" applyFont="1" applyBorder="1" applyAlignment="1">
      <alignment vertical="center" wrapText="1" readingOrder="1"/>
    </xf>
    <xf numFmtId="0" fontId="61" fillId="0" borderId="9" xfId="0" applyFont="1" applyBorder="1" applyAlignment="1">
      <alignment horizontal="left" vertical="center" wrapText="1" indent="1" readingOrder="1"/>
    </xf>
    <xf numFmtId="0" fontId="62" fillId="0" borderId="9" xfId="0" applyFont="1" applyBorder="1" applyAlignment="1">
      <alignment horizontal="left" vertical="center" wrapText="1" indent="1" readingOrder="1"/>
    </xf>
    <xf numFmtId="0" fontId="62" fillId="0" borderId="9" xfId="0" applyFont="1" applyBorder="1" applyAlignment="1">
      <alignment vertical="center" wrapText="1" readingOrder="1"/>
    </xf>
    <xf numFmtId="0" fontId="0" fillId="58" borderId="61" xfId="0" applyFill="1" applyBorder="1"/>
    <xf numFmtId="0" fontId="0" fillId="0" borderId="61" xfId="0" applyBorder="1"/>
    <xf numFmtId="0" fontId="0" fillId="0" borderId="86" xfId="0" applyBorder="1"/>
    <xf numFmtId="0" fontId="8" fillId="8" borderId="86" xfId="0" applyFont="1" applyFill="1" applyBorder="1" applyAlignment="1">
      <alignment vertical="top"/>
    </xf>
    <xf numFmtId="0" fontId="0" fillId="8" borderId="98" xfId="0" applyFill="1" applyBorder="1"/>
    <xf numFmtId="0" fontId="0" fillId="8" borderId="65" xfId="0" applyFill="1" applyBorder="1"/>
    <xf numFmtId="0" fontId="6" fillId="8" borderId="99" xfId="0" applyFont="1" applyFill="1" applyBorder="1"/>
    <xf numFmtId="0" fontId="0" fillId="8" borderId="0" xfId="0" applyFill="1"/>
    <xf numFmtId="0" fontId="0" fillId="8" borderId="11" xfId="0" applyFill="1" applyBorder="1"/>
    <xf numFmtId="0" fontId="0" fillId="8" borderId="99" xfId="0" applyFill="1" applyBorder="1"/>
    <xf numFmtId="0" fontId="0" fillId="8" borderId="11" xfId="0" applyFill="1" applyBorder="1" applyAlignment="1">
      <alignment horizontal="left"/>
    </xf>
    <xf numFmtId="0" fontId="0" fillId="8" borderId="0" xfId="0" applyFill="1" applyProtection="1">
      <protection locked="0"/>
    </xf>
    <xf numFmtId="14" fontId="0" fillId="10" borderId="0" xfId="0" applyNumberFormat="1" applyFill="1" applyProtection="1">
      <protection locked="0"/>
    </xf>
    <xf numFmtId="0" fontId="0" fillId="8" borderId="97" xfId="0" applyFill="1" applyBorder="1"/>
    <xf numFmtId="0" fontId="0" fillId="8" borderId="17" xfId="0" applyFill="1" applyBorder="1"/>
    <xf numFmtId="0" fontId="0" fillId="8" borderId="16" xfId="0" applyFill="1" applyBorder="1"/>
    <xf numFmtId="2" fontId="53" fillId="10" borderId="0" xfId="0" applyNumberFormat="1" applyFont="1" applyFill="1"/>
    <xf numFmtId="2" fontId="55" fillId="10" borderId="0" xfId="0" applyNumberFormat="1" applyFont="1" applyFill="1" applyAlignment="1">
      <alignment horizontal="center"/>
    </xf>
    <xf numFmtId="2" fontId="48" fillId="10" borderId="0" xfId="0" applyNumberFormat="1" applyFont="1" applyFill="1" applyAlignment="1">
      <alignment horizontal="center"/>
    </xf>
    <xf numFmtId="2" fontId="42" fillId="10" borderId="0" xfId="0" applyNumberFormat="1" applyFont="1" applyFill="1" applyAlignment="1">
      <alignment horizontal="center"/>
    </xf>
    <xf numFmtId="0" fontId="55" fillId="10" borderId="0" xfId="0" applyFont="1" applyFill="1" applyAlignment="1">
      <alignment horizontal="center" wrapText="1"/>
    </xf>
    <xf numFmtId="0" fontId="51" fillId="10" borderId="0" xfId="0" applyFont="1" applyFill="1" applyAlignment="1">
      <alignment horizontal="center" wrapText="1"/>
    </xf>
    <xf numFmtId="1" fontId="55" fillId="10" borderId="0" xfId="0" applyNumberFormat="1" applyFont="1" applyFill="1" applyAlignment="1">
      <alignment horizontal="right"/>
    </xf>
    <xf numFmtId="1" fontId="53" fillId="10" borderId="0" xfId="0" applyNumberFormat="1" applyFont="1" applyFill="1" applyAlignment="1">
      <alignment horizontal="right"/>
    </xf>
    <xf numFmtId="2" fontId="49" fillId="10" borderId="0" xfId="0" applyNumberFormat="1" applyFont="1" applyFill="1" applyAlignment="1">
      <alignment horizontal="center"/>
    </xf>
    <xf numFmtId="0" fontId="49" fillId="10" borderId="0" xfId="0" applyFont="1" applyFill="1" applyAlignment="1">
      <alignment horizontal="center" vertical="center"/>
    </xf>
    <xf numFmtId="0" fontId="53" fillId="0" borderId="0" xfId="0" applyFont="1" applyAlignment="1">
      <alignment horizontal="center"/>
    </xf>
    <xf numFmtId="0" fontId="0" fillId="0" borderId="0" xfId="0" applyAlignment="1">
      <alignment horizontal="center"/>
    </xf>
    <xf numFmtId="0" fontId="55" fillId="10" borderId="0" xfId="0" applyFont="1" applyFill="1" applyAlignment="1">
      <alignment horizontal="center" vertical="center"/>
    </xf>
    <xf numFmtId="0" fontId="0" fillId="10" borderId="0" xfId="0" applyFill="1" applyAlignment="1">
      <alignment horizontal="center" vertical="center"/>
    </xf>
    <xf numFmtId="2" fontId="50" fillId="10" borderId="0" xfId="0" applyNumberFormat="1" applyFont="1" applyFill="1" applyAlignment="1">
      <alignment horizontal="center"/>
    </xf>
    <xf numFmtId="2" fontId="0" fillId="10" borderId="0" xfId="0" applyNumberFormat="1" applyFill="1" applyAlignment="1">
      <alignment horizontal="center"/>
    </xf>
    <xf numFmtId="2" fontId="47" fillId="10" borderId="0" xfId="0" applyNumberFormat="1" applyFont="1" applyFill="1" applyAlignment="1">
      <alignment horizontal="center"/>
    </xf>
    <xf numFmtId="0" fontId="55" fillId="10" borderId="0" xfId="0" applyFont="1" applyFill="1" applyAlignment="1">
      <alignment horizontal="left" vertical="top" wrapText="1"/>
    </xf>
    <xf numFmtId="0" fontId="0" fillId="10" borderId="0" xfId="0" applyFill="1" applyAlignment="1">
      <alignment horizontal="left" vertical="top"/>
    </xf>
    <xf numFmtId="2" fontId="48" fillId="10" borderId="0" xfId="0" applyNumberFormat="1" applyFont="1" applyFill="1" applyAlignment="1">
      <alignment horizontal="center" vertical="center"/>
    </xf>
    <xf numFmtId="2" fontId="55" fillId="10" borderId="0" xfId="0" applyNumberFormat="1" applyFont="1" applyFill="1" applyAlignment="1">
      <alignment horizontal="center" vertical="center"/>
    </xf>
    <xf numFmtId="2" fontId="42" fillId="10" borderId="0" xfId="0" applyNumberFormat="1" applyFont="1" applyFill="1" applyAlignment="1">
      <alignment horizontal="center" vertical="center"/>
    </xf>
    <xf numFmtId="2" fontId="55" fillId="10" borderId="0" xfId="0" applyNumberFormat="1" applyFont="1" applyFill="1" applyAlignment="1">
      <alignment horizontal="center" vertical="top"/>
    </xf>
    <xf numFmtId="2" fontId="49" fillId="10" borderId="0" xfId="0" applyNumberFormat="1" applyFont="1" applyFill="1" applyAlignment="1">
      <alignment horizontal="center" vertical="top"/>
    </xf>
    <xf numFmtId="0" fontId="55" fillId="10" borderId="0" xfId="0" applyFont="1" applyFill="1" applyAlignment="1">
      <alignment horizontal="center"/>
    </xf>
    <xf numFmtId="0" fontId="49" fillId="10" borderId="0" xfId="0" applyFont="1" applyFill="1" applyAlignment="1">
      <alignment horizontal="center"/>
    </xf>
    <xf numFmtId="2" fontId="50" fillId="10" borderId="0" xfId="0" applyNumberFormat="1" applyFont="1" applyFill="1" applyAlignment="1">
      <alignment horizontal="center" vertical="center"/>
    </xf>
    <xf numFmtId="0" fontId="47" fillId="10" borderId="0" xfId="0" applyFont="1" applyFill="1" applyAlignment="1">
      <alignment horizontal="center" vertical="center"/>
    </xf>
    <xf numFmtId="2" fontId="54" fillId="10" borderId="0" xfId="0" applyNumberFormat="1" applyFont="1" applyFill="1" applyAlignment="1">
      <alignment horizontal="center"/>
    </xf>
    <xf numFmtId="0" fontId="3" fillId="54" borderId="23" xfId="0" applyFont="1" applyFill="1" applyBorder="1" applyAlignment="1">
      <alignment horizontal="center" vertical="center"/>
    </xf>
    <xf numFmtId="0" fontId="3" fillId="54" borderId="52" xfId="0" applyFont="1" applyFill="1" applyBorder="1" applyAlignment="1">
      <alignment horizontal="center" vertical="center"/>
    </xf>
    <xf numFmtId="0" fontId="3" fillId="55" borderId="23" xfId="0" applyFont="1" applyFill="1" applyBorder="1" applyAlignment="1">
      <alignment horizontal="center" vertical="center" wrapText="1"/>
    </xf>
    <xf numFmtId="0" fontId="3" fillId="55" borderId="52" xfId="0" applyFont="1" applyFill="1" applyBorder="1" applyAlignment="1">
      <alignment horizontal="center" vertical="center" wrapText="1"/>
    </xf>
    <xf numFmtId="0" fontId="3" fillId="55" borderId="24" xfId="0" applyFont="1" applyFill="1" applyBorder="1" applyAlignment="1">
      <alignment horizontal="center" vertical="center" wrapText="1"/>
    </xf>
    <xf numFmtId="0" fontId="3" fillId="29" borderId="58" xfId="0" applyFont="1" applyFill="1" applyBorder="1" applyAlignment="1">
      <alignment horizontal="center" vertical="center" wrapText="1"/>
    </xf>
    <xf numFmtId="0" fontId="3" fillId="29" borderId="60" xfId="0" applyFont="1" applyFill="1" applyBorder="1" applyAlignment="1">
      <alignment horizontal="center" vertical="center" wrapText="1"/>
    </xf>
    <xf numFmtId="0" fontId="0" fillId="29" borderId="23" xfId="0" applyFill="1" applyBorder="1" applyAlignment="1">
      <alignment horizontal="center" vertical="center"/>
    </xf>
    <xf numFmtId="0" fontId="0" fillId="29" borderId="24" xfId="0" applyFill="1" applyBorder="1" applyAlignment="1">
      <alignment horizontal="center" vertical="center"/>
    </xf>
    <xf numFmtId="0" fontId="0" fillId="29" borderId="25" xfId="0" applyFill="1" applyBorder="1" applyAlignment="1">
      <alignment horizontal="center" vertical="center"/>
    </xf>
    <xf numFmtId="0" fontId="0" fillId="29" borderId="28" xfId="0" applyFill="1" applyBorder="1" applyAlignment="1">
      <alignment horizontal="center" vertical="center"/>
    </xf>
    <xf numFmtId="0" fontId="0" fillId="0" borderId="39" xfId="0" applyBorder="1" applyAlignment="1">
      <alignment horizontal="left"/>
    </xf>
    <xf numFmtId="0" fontId="0" fillId="0" borderId="40" xfId="0" applyBorder="1" applyAlignment="1">
      <alignment horizontal="left"/>
    </xf>
    <xf numFmtId="0" fontId="0" fillId="0" borderId="41" xfId="0" applyBorder="1" applyAlignment="1">
      <alignment horizontal="left"/>
    </xf>
    <xf numFmtId="0" fontId="0" fillId="0" borderId="67" xfId="0" applyBorder="1" applyAlignment="1">
      <alignment horizontal="left"/>
    </xf>
    <xf numFmtId="0" fontId="0" fillId="0" borderId="58" xfId="0" applyBorder="1" applyAlignment="1">
      <alignment horizontal="center" vertical="center" wrapText="1"/>
    </xf>
    <xf numFmtId="0" fontId="0" fillId="0" borderId="27" xfId="0" applyBorder="1" applyAlignment="1">
      <alignment horizontal="center" vertical="center" wrapText="1"/>
    </xf>
    <xf numFmtId="0" fontId="0" fillId="0" borderId="60" xfId="0" applyBorder="1" applyAlignment="1">
      <alignment horizontal="center" vertical="center" wrapText="1"/>
    </xf>
    <xf numFmtId="0" fontId="0" fillId="0" borderId="0" xfId="0" applyAlignment="1">
      <alignment horizontal="left" vertical="top" wrapText="1"/>
    </xf>
    <xf numFmtId="0" fontId="3" fillId="55" borderId="71" xfId="0" applyFont="1" applyFill="1" applyBorder="1" applyAlignment="1">
      <alignment horizontal="center" vertical="center"/>
    </xf>
    <xf numFmtId="0" fontId="3" fillId="55" borderId="72" xfId="0" applyFont="1" applyFill="1" applyBorder="1" applyAlignment="1">
      <alignment horizontal="center" vertical="center"/>
    </xf>
    <xf numFmtId="0" fontId="3" fillId="55" borderId="73" xfId="0" applyFont="1" applyFill="1" applyBorder="1" applyAlignment="1">
      <alignment horizontal="center" vertical="center"/>
    </xf>
    <xf numFmtId="0" fontId="3" fillId="54" borderId="23" xfId="0" applyFont="1" applyFill="1" applyBorder="1" applyAlignment="1">
      <alignment horizontal="center"/>
    </xf>
    <xf numFmtId="0" fontId="3" fillId="54" borderId="52" xfId="0" applyFont="1" applyFill="1" applyBorder="1" applyAlignment="1">
      <alignment horizontal="center"/>
    </xf>
    <xf numFmtId="0" fontId="3" fillId="54" borderId="23" xfId="0" applyFont="1" applyFill="1" applyBorder="1" applyAlignment="1">
      <alignment horizontal="center" wrapText="1"/>
    </xf>
    <xf numFmtId="0" fontId="0" fillId="0" borderId="0" xfId="0" applyAlignment="1">
      <alignment horizontal="left" wrapText="1"/>
    </xf>
    <xf numFmtId="0" fontId="0" fillId="32" borderId="0" xfId="0" applyFill="1" applyAlignment="1">
      <alignment horizontal="left" wrapText="1"/>
    </xf>
    <xf numFmtId="0" fontId="3" fillId="32" borderId="23" xfId="0" applyFont="1" applyFill="1" applyBorder="1" applyAlignment="1" applyProtection="1">
      <alignment horizontal="left" wrapText="1"/>
      <protection locked="0"/>
    </xf>
    <xf numFmtId="0" fontId="3" fillId="32" borderId="31" xfId="0" applyFont="1" applyFill="1" applyBorder="1" applyAlignment="1" applyProtection="1">
      <alignment horizontal="left" wrapText="1"/>
      <protection locked="0"/>
    </xf>
    <xf numFmtId="0" fontId="0" fillId="32" borderId="90" xfId="0" applyFill="1" applyBorder="1" applyAlignment="1" applyProtection="1">
      <alignment horizontal="center" vertical="center"/>
      <protection locked="0"/>
    </xf>
    <xf numFmtId="0" fontId="0" fillId="32" borderId="91" xfId="0" applyFill="1" applyBorder="1" applyAlignment="1" applyProtection="1">
      <alignment horizontal="center" vertical="center"/>
      <protection locked="0"/>
    </xf>
    <xf numFmtId="0" fontId="0" fillId="0" borderId="0" xfId="0" applyFill="1"/>
    <xf numFmtId="0" fontId="0" fillId="0" borderId="0" xfId="0" applyFill="1" applyAlignment="1">
      <alignment wrapText="1"/>
    </xf>
  </cellXfs>
  <cellStyles count="4">
    <cellStyle name="Collegamento ipertestuale" xfId="3" builtinId="8"/>
    <cellStyle name="Migliaia" xfId="1" builtinId="3"/>
    <cellStyle name="Normale" xfId="0" builtinId="0"/>
    <cellStyle name="Valore non valido" xfId="2" builtinId="27"/>
  </cellStyles>
  <dxfs count="156">
    <dxf>
      <fill>
        <patternFill>
          <bgColor theme="7" tint="0.59996337778862885"/>
        </patternFill>
      </fill>
    </dxf>
    <dxf>
      <fill>
        <patternFill>
          <bgColor theme="7" tint="-0.24994659260841701"/>
        </patternFill>
      </fill>
    </dxf>
    <dxf>
      <fill>
        <patternFill>
          <bgColor theme="4" tint="0.39994506668294322"/>
        </patternFill>
      </fill>
    </dxf>
    <dxf>
      <fill>
        <patternFill>
          <bgColor theme="0" tint="-0.24994659260841701"/>
        </patternFill>
      </fill>
    </dxf>
    <dxf>
      <fill>
        <patternFill>
          <bgColor theme="9" tint="0.39994506668294322"/>
        </patternFill>
      </fill>
    </dxf>
    <dxf>
      <fill>
        <patternFill>
          <bgColor theme="5" tint="-0.24994659260841701"/>
        </patternFill>
      </fill>
    </dxf>
    <dxf>
      <fill>
        <patternFill>
          <bgColor theme="5" tint="0.39994506668294322"/>
        </patternFill>
      </fill>
    </dxf>
    <dxf>
      <fill>
        <patternFill>
          <bgColor rgb="FFAA72D4"/>
        </patternFill>
      </fill>
    </dxf>
    <dxf>
      <fill>
        <patternFill>
          <bgColor theme="7" tint="0.59996337778862885"/>
        </patternFill>
      </fill>
    </dxf>
    <dxf>
      <fill>
        <patternFill>
          <bgColor theme="7" tint="-0.24994659260841701"/>
        </patternFill>
      </fill>
    </dxf>
    <dxf>
      <fill>
        <patternFill>
          <bgColor theme="4" tint="0.39994506668294322"/>
        </patternFill>
      </fill>
    </dxf>
    <dxf>
      <fill>
        <patternFill>
          <bgColor theme="0" tint="-0.24994659260841701"/>
        </patternFill>
      </fill>
    </dxf>
    <dxf>
      <fill>
        <patternFill>
          <bgColor theme="9" tint="0.39994506668294322"/>
        </patternFill>
      </fill>
    </dxf>
    <dxf>
      <fill>
        <patternFill>
          <bgColor theme="5" tint="-0.24994659260841701"/>
        </patternFill>
      </fill>
    </dxf>
    <dxf>
      <fill>
        <patternFill>
          <bgColor theme="5" tint="0.39994506668294322"/>
        </patternFill>
      </fill>
    </dxf>
    <dxf>
      <fill>
        <patternFill>
          <bgColor rgb="FFAA72D4"/>
        </patternFill>
      </fill>
    </dxf>
    <dxf>
      <fill>
        <patternFill>
          <bgColor theme="7" tint="0.59996337778862885"/>
        </patternFill>
      </fill>
    </dxf>
    <dxf>
      <fill>
        <patternFill>
          <bgColor theme="7" tint="-0.24994659260841701"/>
        </patternFill>
      </fill>
    </dxf>
    <dxf>
      <fill>
        <patternFill>
          <bgColor theme="7" tint="-0.24994659260841701"/>
        </patternFill>
      </fill>
    </dxf>
    <dxf>
      <fill>
        <patternFill>
          <bgColor theme="4" tint="0.39994506668294322"/>
        </patternFill>
      </fill>
    </dxf>
    <dxf>
      <fill>
        <patternFill>
          <bgColor theme="0" tint="-0.24994659260841701"/>
        </patternFill>
      </fill>
    </dxf>
    <dxf>
      <fill>
        <patternFill>
          <bgColor theme="9" tint="0.39994506668294322"/>
        </patternFill>
      </fill>
    </dxf>
    <dxf>
      <fill>
        <patternFill>
          <bgColor theme="5" tint="-0.24994659260841701"/>
        </patternFill>
      </fill>
    </dxf>
    <dxf>
      <fill>
        <patternFill>
          <bgColor theme="5" tint="0.39994506668294322"/>
        </patternFill>
      </fill>
    </dxf>
    <dxf>
      <fill>
        <patternFill>
          <bgColor rgb="FFAA72D4"/>
        </patternFill>
      </fill>
    </dxf>
    <dxf>
      <fill>
        <patternFill>
          <bgColor rgb="FFAA72D4"/>
        </patternFill>
      </fill>
    </dxf>
    <dxf>
      <fill>
        <patternFill>
          <bgColor rgb="FFAA72D4"/>
        </patternFill>
      </fill>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2" formatCode="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2" formatCode="0.00"/>
      <protection locked="0" hidden="0"/>
    </dxf>
    <dxf>
      <protection locked="0" hidden="0"/>
    </dxf>
    <dxf>
      <alignment horizontal="general" vertical="top" textRotation="0" wrapText="1" indent="0" justifyLastLine="0" shrinkToFit="0" readingOrder="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25" formatCode="hh:mm"/>
    </dxf>
    <dxf>
      <font>
        <b val="0"/>
        <i val="0"/>
        <strike val="0"/>
        <condense val="0"/>
        <extend val="0"/>
        <outline val="0"/>
        <shadow val="0"/>
        <u val="none"/>
        <vertAlign val="baseline"/>
        <sz val="11"/>
        <color theme="1"/>
        <name val="Calibri"/>
        <scheme val="minor"/>
      </font>
      <numFmt numFmtId="0" formatCode="General"/>
      <fill>
        <patternFill patternType="solid">
          <fgColor theme="0" tint="-0.14999847407452621"/>
          <bgColor theme="0" tint="-0.14999847407452621"/>
        </patternFill>
      </fill>
    </dxf>
    <dxf>
      <numFmt numFmtId="25" formatCode="hh:mm"/>
    </dxf>
    <dxf>
      <numFmt numFmtId="173" formatCode="h:mm"/>
    </dxf>
    <dxf>
      <numFmt numFmtId="25" formatCode="hh:mm"/>
    </dxf>
    <dxf>
      <numFmt numFmtId="173" formatCode="h:mm"/>
      <alignment horizontal="center" vertical="bottom" textRotation="0" wrapText="0" indent="0" justifyLastLine="0" shrinkToFit="0" readingOrder="0"/>
    </dxf>
    <dxf>
      <font>
        <b val="0"/>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numFmt numFmtId="3" formatCode="#,##0"/>
      <fill>
        <patternFill patternType="solid">
          <fgColor theme="9" tint="0.79998168889431442"/>
          <bgColor theme="9" tint="0.79998168889431442"/>
        </patternFill>
      </fill>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fill>
        <patternFill patternType="solid">
          <fgColor theme="9" tint="0.79998168889431442"/>
          <bgColor theme="9" tint="0.79998168889431442"/>
        </patternFill>
      </fill>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fill>
        <patternFill patternType="solid">
          <fgColor theme="9" tint="0.79998168889431442"/>
          <bgColor theme="9" tint="0.79998168889431442"/>
        </patternFill>
      </fill>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fill>
        <patternFill patternType="solid">
          <fgColor theme="9" tint="0.79998168889431442"/>
          <bgColor theme="9" tint="0.79998168889431442"/>
        </patternFill>
      </fill>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fill>
        <patternFill patternType="solid">
          <fgColor theme="9" tint="0.79998168889431442"/>
          <bgColor theme="9" tint="0.79998168889431442"/>
        </patternFill>
      </fill>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fill>
        <patternFill patternType="solid">
          <fgColor theme="9" tint="0.79998168889431442"/>
          <bgColor theme="9" tint="0.79998168889431442"/>
        </patternFill>
      </fill>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left/>
        <right style="thin">
          <color indexed="64"/>
        </right>
        <top/>
        <bottom style="thin">
          <color indexed="64"/>
        </bottom>
        <vertical/>
        <horizontal/>
      </border>
    </dxf>
    <dxf>
      <border outline="0">
        <left style="thin">
          <color indexed="64"/>
        </left>
        <right style="thin">
          <color indexed="64"/>
        </right>
        <bottom style="thin">
          <color indexed="64"/>
        </bottom>
      </border>
    </dxf>
    <dxf>
      <border outline="0">
        <bottom style="thin">
          <color indexed="64"/>
        </bottom>
      </border>
    </dxf>
    <dxf>
      <font>
        <b/>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outline="0">
        <left style="thin">
          <color indexed="64"/>
        </left>
        <right style="thin">
          <color indexed="64"/>
        </right>
        <top/>
        <bottom/>
      </border>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general" vertical="top" textRotation="0" wrapText="1" indent="0" justifyLastLine="0" shrinkToFit="0" readingOrder="0"/>
    </dxf>
    <dxf>
      <fill>
        <patternFill>
          <fgColor indexed="64"/>
          <bgColor theme="5" tint="0.79998168889431442"/>
        </patternFill>
      </fill>
      <alignment horizontal="center" vertical="top"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numFmt numFmtId="30" formatCode="@"/>
      <alignment horizontal="general" vertical="top" textRotation="0" wrapText="1" indent="0" justifyLastLine="0" shrinkToFit="0" readingOrder="0"/>
    </dxf>
    <dxf>
      <numFmt numFmtId="30" formatCode="@"/>
      <alignment horizontal="general" vertical="top" textRotation="0" wrapText="1" indent="0" justifyLastLine="0" shrinkToFit="0" readingOrder="0"/>
    </dxf>
    <dxf>
      <numFmt numFmtId="30" formatCode="@"/>
      <alignment horizontal="general" vertical="top" textRotation="0" wrapText="1" indent="0" justifyLastLine="0" shrinkToFit="0" readingOrder="0"/>
    </dxf>
    <dxf>
      <numFmt numFmtId="30" formatCode="@"/>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numFmt numFmtId="2" formatCode="0.00"/>
      <alignment horizontal="right" vertical="top" textRotation="0" wrapText="1" indent="0" justifyLastLine="0" shrinkToFit="0" readingOrder="0"/>
    </dxf>
    <dxf>
      <alignment horizontal="right" vertical="top" textRotation="0" wrapText="1" indent="0" justifyLastLine="0" shrinkToFit="0" readingOrder="0"/>
    </dxf>
    <dxf>
      <numFmt numFmtId="2" formatCode="0.00"/>
      <alignment horizontal="right" vertical="top" textRotation="0" wrapText="1" indent="0" justifyLastLine="0" shrinkToFit="0" readingOrder="0"/>
    </dxf>
    <dxf>
      <numFmt numFmtId="2" formatCode="0.00"/>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numFmt numFmtId="166" formatCode="0.000"/>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general" vertical="top"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horizontal="center"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textRotation="0" wrapText="1" indent="0" justifyLastLine="0" shrinkToFit="0" readingOrder="0"/>
    </dxf>
    <dxf>
      <alignment horizontal="left" vertical="top" textRotation="0" wrapText="1" indent="0" justifyLastLine="0" shrinkToFit="0" readingOrder="0"/>
    </dxf>
  </dxfs>
  <tableStyles count="0" defaultTableStyle="TableStyleMedium2" defaultPivotStyle="PivotStyleLight16"/>
  <colors>
    <mruColors>
      <color rgb="FFFF7F00"/>
      <color rgb="FF984EA3"/>
      <color rgb="FF999999"/>
      <color rgb="FF6C8EBF"/>
      <color rgb="FF5B9BD5"/>
      <color rgb="FFDA97FF"/>
      <color rgb="FFDC82DE"/>
      <color rgb="FF4DAF4A"/>
      <color rgb="FFE41A1C"/>
      <color rgb="FF3054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Relative Attribute Criticality</a:t>
            </a:r>
          </a:p>
        </c:rich>
      </c:tx>
      <c:layout>
        <c:manualLayout>
          <c:xMode val="edge"/>
          <c:yMode val="edge"/>
          <c:x val="0.23447619047619048"/>
          <c:y val="1.9240019240019241E-2"/>
        </c:manualLayout>
      </c:layout>
      <c:overlay val="0"/>
    </c:title>
    <c:autoTitleDeleted val="0"/>
    <c:plotArea>
      <c:layout>
        <c:manualLayout>
          <c:layoutTarget val="inner"/>
          <c:xMode val="edge"/>
          <c:yMode val="edge"/>
          <c:x val="0.15441882264716911"/>
          <c:y val="0.12867755062727251"/>
          <c:w val="0.81939070116235468"/>
          <c:h val="0.46582245401143041"/>
        </c:manualLayout>
      </c:layout>
      <c:barChart>
        <c:barDir val="col"/>
        <c:grouping val="clustered"/>
        <c:varyColors val="0"/>
        <c:ser>
          <c:idx val="0"/>
          <c:order val="0"/>
          <c:invertIfNegative val="0"/>
          <c:cat>
            <c:strRef>
              <c:f>'Output Data'!$N$21:$N$27</c:f>
              <c:strCache>
                <c:ptCount val="7"/>
                <c:pt idx="0">
                  <c:v>Mass</c:v>
                </c:pt>
                <c:pt idx="1">
                  <c:v>Volume</c:v>
                </c:pt>
                <c:pt idx="2">
                  <c:v>Power</c:v>
                </c:pt>
                <c:pt idx="3">
                  <c:v>Cooling</c:v>
                </c:pt>
                <c:pt idx="4">
                  <c:v>Maintenance</c:v>
                </c:pt>
                <c:pt idx="5">
                  <c:v>Reliability</c:v>
                </c:pt>
                <c:pt idx="6">
                  <c:v>TRL</c:v>
                </c:pt>
              </c:strCache>
            </c:strRef>
          </c:cat>
          <c:val>
            <c:numRef>
              <c:f>'Output Data'!$O$21:$O$27</c:f>
              <c:numCache>
                <c:formatCode>0.00</c:formatCode>
                <c:ptCount val="7"/>
              </c:numCache>
            </c:numRef>
          </c:val>
          <c:extLst>
            <c:ext xmlns:c16="http://schemas.microsoft.com/office/drawing/2014/chart" uri="{C3380CC4-5D6E-409C-BE32-E72D297353CC}">
              <c16:uniqueId val="{00000000-9EF7-4350-A757-CC659F39A071}"/>
            </c:ext>
          </c:extLst>
        </c:ser>
        <c:dLbls>
          <c:showLegendKey val="0"/>
          <c:showVal val="0"/>
          <c:showCatName val="0"/>
          <c:showSerName val="0"/>
          <c:showPercent val="0"/>
          <c:showBubbleSize val="0"/>
        </c:dLbls>
        <c:gapWidth val="150"/>
        <c:axId val="396036912"/>
        <c:axId val="396029040"/>
      </c:barChart>
      <c:catAx>
        <c:axId val="396036912"/>
        <c:scaling>
          <c:orientation val="minMax"/>
        </c:scaling>
        <c:delete val="0"/>
        <c:axPos val="b"/>
        <c:title>
          <c:tx>
            <c:rich>
              <a:bodyPr/>
              <a:lstStyle/>
              <a:p>
                <a:pPr>
                  <a:defRPr/>
                </a:pPr>
                <a:r>
                  <a:rPr lang="en-GB"/>
                  <a:t>Attribute</a:t>
                </a:r>
              </a:p>
            </c:rich>
          </c:tx>
          <c:overlay val="0"/>
        </c:title>
        <c:numFmt formatCode="General" sourceLinked="1"/>
        <c:majorTickMark val="out"/>
        <c:minorTickMark val="none"/>
        <c:tickLblPos val="nextTo"/>
        <c:crossAx val="396029040"/>
        <c:crosses val="autoZero"/>
        <c:auto val="1"/>
        <c:lblAlgn val="ctr"/>
        <c:lblOffset val="100"/>
        <c:noMultiLvlLbl val="0"/>
      </c:catAx>
      <c:valAx>
        <c:axId val="396029040"/>
        <c:scaling>
          <c:orientation val="minMax"/>
        </c:scaling>
        <c:delete val="0"/>
        <c:axPos val="l"/>
        <c:majorGridlines/>
        <c:title>
          <c:tx>
            <c:rich>
              <a:bodyPr/>
              <a:lstStyle/>
              <a:p>
                <a:pPr>
                  <a:defRPr/>
                </a:pPr>
                <a:r>
                  <a:rPr lang="en-GB"/>
                  <a:t>Relative Change /</a:t>
                </a:r>
                <a:r>
                  <a:rPr lang="en-GB" baseline="0"/>
                  <a:t> </a:t>
                </a:r>
                <a:r>
                  <a:rPr lang="en-GB"/>
                  <a:t>%</a:t>
                </a:r>
              </a:p>
            </c:rich>
          </c:tx>
          <c:overlay val="0"/>
        </c:title>
        <c:numFmt formatCode="0.00" sourceLinked="1"/>
        <c:majorTickMark val="out"/>
        <c:minorTickMark val="none"/>
        <c:tickLblPos val="nextTo"/>
        <c:crossAx val="396036912"/>
        <c:crosses val="autoZero"/>
        <c:crossBetween val="between"/>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ESM System Masses</a:t>
            </a:r>
          </a:p>
        </c:rich>
      </c:tx>
      <c:overlay val="0"/>
    </c:title>
    <c:autoTitleDeleted val="0"/>
    <c:plotArea>
      <c:layout/>
      <c:scatterChart>
        <c:scatterStyle val="smoothMarker"/>
        <c:varyColors val="0"/>
        <c:dLbls>
          <c:showLegendKey val="0"/>
          <c:showVal val="0"/>
          <c:showCatName val="0"/>
          <c:showSerName val="0"/>
          <c:showPercent val="0"/>
          <c:showBubbleSize val="0"/>
        </c:dLbls>
        <c:axId val="584813424"/>
        <c:axId val="584814080"/>
      </c:scatterChart>
      <c:valAx>
        <c:axId val="584813424"/>
        <c:scaling>
          <c:orientation val="minMax"/>
          <c:max val="600"/>
          <c:min val="0"/>
        </c:scaling>
        <c:delete val="0"/>
        <c:axPos val="b"/>
        <c:title>
          <c:tx>
            <c:rich>
              <a:bodyPr/>
              <a:lstStyle/>
              <a:p>
                <a:pPr>
                  <a:defRPr/>
                </a:pPr>
                <a:r>
                  <a:rPr lang="en-US"/>
                  <a:t>Mission Duration [d]</a:t>
                </a:r>
              </a:p>
            </c:rich>
          </c:tx>
          <c:overlay val="0"/>
        </c:title>
        <c:numFmt formatCode="General" sourceLinked="1"/>
        <c:majorTickMark val="out"/>
        <c:minorTickMark val="none"/>
        <c:tickLblPos val="nextTo"/>
        <c:crossAx val="584814080"/>
        <c:crosses val="autoZero"/>
        <c:crossBetween val="midCat"/>
      </c:valAx>
      <c:valAx>
        <c:axId val="584814080"/>
        <c:scaling>
          <c:orientation val="minMax"/>
          <c:max val="1371625.0160370292"/>
          <c:min val="0"/>
        </c:scaling>
        <c:delete val="0"/>
        <c:axPos val="l"/>
        <c:majorGridlines/>
        <c:title>
          <c:tx>
            <c:rich>
              <a:bodyPr/>
              <a:lstStyle/>
              <a:p>
                <a:pPr>
                  <a:defRPr/>
                </a:pPr>
                <a:r>
                  <a:rPr lang="en-US"/>
                  <a:t>ESM mass / kg</a:t>
                </a:r>
              </a:p>
            </c:rich>
          </c:tx>
          <c:overlay val="0"/>
        </c:title>
        <c:numFmt formatCode="General" sourceLinked="1"/>
        <c:majorTickMark val="out"/>
        <c:minorTickMark val="none"/>
        <c:tickLblPos val="nextTo"/>
        <c:crossAx val="584813424"/>
        <c:crosses val="autoZero"/>
        <c:crossBetween val="midCat"/>
      </c:valAx>
      <c:spPr>
        <a:ln>
          <a:solidFill>
            <a:srgbClr val="008080"/>
          </a:solidFill>
          <a:prstDash val="solid"/>
        </a:ln>
      </c:spPr>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ECLSS ESM Composition</a:t>
            </a:r>
          </a:p>
        </c:rich>
      </c:tx>
      <c:overlay val="0"/>
    </c:title>
    <c:autoTitleDeleted val="0"/>
    <c:plotArea>
      <c:layout/>
      <c:barChart>
        <c:barDir val="col"/>
        <c:grouping val="stacked"/>
        <c:varyColors val="0"/>
        <c:dLbls>
          <c:showLegendKey val="0"/>
          <c:showVal val="0"/>
          <c:showCatName val="0"/>
          <c:showSerName val="0"/>
          <c:showPercent val="0"/>
          <c:showBubbleSize val="0"/>
        </c:dLbls>
        <c:gapWidth val="100"/>
        <c:overlap val="100"/>
        <c:axId val="609694984"/>
        <c:axId val="609694656"/>
      </c:barChart>
      <c:catAx>
        <c:axId val="609694984"/>
        <c:scaling>
          <c:orientation val="minMax"/>
        </c:scaling>
        <c:delete val="0"/>
        <c:axPos val="b"/>
        <c:numFmt formatCode="General" sourceLinked="1"/>
        <c:majorTickMark val="out"/>
        <c:minorTickMark val="none"/>
        <c:tickLblPos val="nextTo"/>
        <c:crossAx val="609694656"/>
        <c:crosses val="autoZero"/>
        <c:auto val="1"/>
        <c:lblAlgn val="ctr"/>
        <c:lblOffset val="100"/>
        <c:tickMarkSkip val="1"/>
        <c:noMultiLvlLbl val="0"/>
      </c:catAx>
      <c:valAx>
        <c:axId val="609694656"/>
        <c:scaling>
          <c:orientation val="minMax"/>
        </c:scaling>
        <c:delete val="0"/>
        <c:axPos val="l"/>
        <c:majorGridlines/>
        <c:title>
          <c:tx>
            <c:rich>
              <a:bodyPr/>
              <a:lstStyle/>
              <a:p>
                <a:pPr>
                  <a:defRPr/>
                </a:pPr>
                <a:r>
                  <a:rPr lang="en-US"/>
                  <a:t>ESM / kg</a:t>
                </a:r>
              </a:p>
            </c:rich>
          </c:tx>
          <c:overlay val="0"/>
        </c:title>
        <c:numFmt formatCode="General" sourceLinked="1"/>
        <c:majorTickMark val="out"/>
        <c:minorTickMark val="none"/>
        <c:tickLblPos val="nextTo"/>
        <c:crossAx val="609694984"/>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CO2 Partial Pressure</a:t>
            </a:r>
          </a:p>
        </c:rich>
      </c:tx>
      <c:overlay val="0"/>
    </c:title>
    <c:autoTitleDeleted val="0"/>
    <c:plotArea>
      <c:layout/>
      <c:scatterChart>
        <c:scatterStyle val="smoothMarker"/>
        <c:varyColors val="0"/>
        <c:ser>
          <c:idx val="0"/>
          <c:order val="0"/>
          <c:tx>
            <c:v>Partial CO2 Pressure</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Data'!$W$7:$W$58</c:f>
              <c:numCache>
                <c:formatCode>0.0000</c:formatCode>
                <c:ptCount val="52"/>
                <c:pt idx="0">
                  <c:v>0.4</c:v>
                </c:pt>
                <c:pt idx="1">
                  <c:v>0.3764551344531557</c:v>
                </c:pt>
                <c:pt idx="2">
                  <c:v>0.35291092323849688</c:v>
                </c:pt>
                <c:pt idx="3">
                  <c:v>0.32936736635602371</c:v>
                </c:pt>
                <c:pt idx="4">
                  <c:v>0.30582446380573608</c:v>
                </c:pt>
                <c:pt idx="5">
                  <c:v>0.28228221558763394</c:v>
                </c:pt>
                <c:pt idx="6">
                  <c:v>0.25874062170171747</c:v>
                </c:pt>
                <c:pt idx="7">
                  <c:v>0.23519968214798651</c:v>
                </c:pt>
                <c:pt idx="8">
                  <c:v>0.21165939692644117</c:v>
                </c:pt>
                <c:pt idx="9">
                  <c:v>0.18811976603708133</c:v>
                </c:pt>
                <c:pt idx="10">
                  <c:v>0.16458078947990712</c:v>
                </c:pt>
                <c:pt idx="11">
                  <c:v>0.15864426550585203</c:v>
                </c:pt>
                <c:pt idx="12">
                  <c:v>0.15270778236403379</c:v>
                </c:pt>
                <c:pt idx="13">
                  <c:v>0.14677134005445236</c:v>
                </c:pt>
                <c:pt idx="14">
                  <c:v>0.1408349385771078</c:v>
                </c:pt>
                <c:pt idx="15">
                  <c:v>0.13489857793200002</c:v>
                </c:pt>
                <c:pt idx="16">
                  <c:v>0.12896225811912909</c:v>
                </c:pt>
                <c:pt idx="17">
                  <c:v>0.123025979138495</c:v>
                </c:pt>
                <c:pt idx="18">
                  <c:v>0.11708974099009775</c:v>
                </c:pt>
                <c:pt idx="19">
                  <c:v>0.1111535436739373</c:v>
                </c:pt>
                <c:pt idx="20">
                  <c:v>0.38850880161983203</c:v>
                </c:pt>
                <c:pt idx="21">
                  <c:v>0.38258593849720046</c:v>
                </c:pt>
                <c:pt idx="22">
                  <c:v>0.37666265828627715</c:v>
                </c:pt>
                <c:pt idx="23">
                  <c:v>0.37072466327597708</c:v>
                </c:pt>
                <c:pt idx="24">
                  <c:v>0.36478670909791389</c:v>
                </c:pt>
                <c:pt idx="25">
                  <c:v>0.35884879575208756</c:v>
                </c:pt>
                <c:pt idx="26">
                  <c:v>0.35291092323849799</c:v>
                </c:pt>
                <c:pt idx="27">
                  <c:v>0.34697309155714534</c:v>
                </c:pt>
                <c:pt idx="28">
                  <c:v>0.34103530070802945</c:v>
                </c:pt>
                <c:pt idx="29">
                  <c:v>0.33509755069115044</c:v>
                </c:pt>
                <c:pt idx="30">
                  <c:v>0.61250854976105951</c:v>
                </c:pt>
                <c:pt idx="31">
                  <c:v>0.60659277038292292</c:v>
                </c:pt>
                <c:pt idx="32">
                  <c:v>0.60067657391649465</c:v>
                </c:pt>
                <c:pt idx="33">
                  <c:v>0.59473702620547597</c:v>
                </c:pt>
                <c:pt idx="34">
                  <c:v>0.58879751932669411</c:v>
                </c:pt>
                <c:pt idx="35">
                  <c:v>0.58285805328014906</c:v>
                </c:pt>
                <c:pt idx="36">
                  <c:v>0.57691862806584093</c:v>
                </c:pt>
                <c:pt idx="37">
                  <c:v>0.57097924368376962</c:v>
                </c:pt>
                <c:pt idx="38">
                  <c:v>0.56503990013393501</c:v>
                </c:pt>
                <c:pt idx="39">
                  <c:v>0.55910059741633733</c:v>
                </c:pt>
                <c:pt idx="40">
                  <c:v>0.55316133553097657</c:v>
                </c:pt>
                <c:pt idx="41">
                  <c:v>0.54722211447785241</c:v>
                </c:pt>
                <c:pt idx="42">
                  <c:v>0.54128293425696528</c:v>
                </c:pt>
                <c:pt idx="43">
                  <c:v>0.51773414271700746</c:v>
                </c:pt>
                <c:pt idx="44">
                  <c:v>0.49418600550923508</c:v>
                </c:pt>
                <c:pt idx="45">
                  <c:v>0.47063852263364836</c:v>
                </c:pt>
                <c:pt idx="46">
                  <c:v>0.44709169409024713</c:v>
                </c:pt>
                <c:pt idx="47">
                  <c:v>0.42354551987903161</c:v>
                </c:pt>
                <c:pt idx="48">
                  <c:v>0.55070081282766148</c:v>
                </c:pt>
                <c:pt idx="49">
                  <c:v>0.51302319041248823</c:v>
                </c:pt>
                <c:pt idx="50">
                  <c:v>0.47534718080282057</c:v>
                </c:pt>
                <c:pt idx="51">
                  <c:v>0.43767278399865817</c:v>
                </c:pt>
              </c:numCache>
            </c:numRef>
          </c:yVal>
          <c:smooth val="1"/>
          <c:extLst>
            <c:ext xmlns:c16="http://schemas.microsoft.com/office/drawing/2014/chart" uri="{C3380CC4-5D6E-409C-BE32-E72D297353CC}">
              <c16:uniqueId val="{00000000-29A3-4076-990B-EB028DD26FDD}"/>
            </c:ext>
          </c:extLst>
        </c:ser>
        <c:dLbls>
          <c:showLegendKey val="0"/>
          <c:showVal val="0"/>
          <c:showCatName val="0"/>
          <c:showSerName val="0"/>
          <c:showPercent val="0"/>
          <c:showBubbleSize val="0"/>
        </c:dLbls>
        <c:axId val="586458544"/>
        <c:axId val="584815064"/>
      </c:scatterChart>
      <c:valAx>
        <c:axId val="586458544"/>
        <c:scaling>
          <c:orientation val="minMax"/>
          <c:max val="1"/>
        </c:scaling>
        <c:delete val="0"/>
        <c:axPos val="b"/>
        <c:title>
          <c:tx>
            <c:rich>
              <a:bodyPr/>
              <a:lstStyle/>
              <a:p>
                <a:pPr>
                  <a:defRPr/>
                </a:pPr>
                <a:r>
                  <a:rPr lang="en-US"/>
                  <a:t>Time [h]</a:t>
                </a:r>
              </a:p>
            </c:rich>
          </c:tx>
          <c:overlay val="0"/>
        </c:title>
        <c:numFmt formatCode="h:mm;@" sourceLinked="0"/>
        <c:majorTickMark val="out"/>
        <c:minorTickMark val="none"/>
        <c:tickLblPos val="nextTo"/>
        <c:spPr>
          <a:ln>
            <a:noFill/>
          </a:ln>
        </c:spPr>
        <c:crossAx val="584815064"/>
        <c:crosses val="autoZero"/>
        <c:crossBetween val="midCat"/>
        <c:majorUnit val="0.125"/>
        <c:minorUnit val="2.5000000000000005E-2"/>
      </c:valAx>
      <c:valAx>
        <c:axId val="584815064"/>
        <c:scaling>
          <c:orientation val="minMax"/>
          <c:min val="0"/>
        </c:scaling>
        <c:delete val="0"/>
        <c:axPos val="l"/>
        <c:majorGridlines/>
        <c:title>
          <c:tx>
            <c:rich>
              <a:bodyPr/>
              <a:lstStyle/>
              <a:p>
                <a:pPr>
                  <a:defRPr/>
                </a:pPr>
                <a:r>
                  <a:rPr lang="en-US"/>
                  <a:t>CO2 Partial Pressure /</a:t>
                </a:r>
                <a:r>
                  <a:rPr lang="en-US" baseline="0"/>
                  <a:t> </a:t>
                </a:r>
                <a:r>
                  <a:rPr lang="en-US"/>
                  <a:t>kPa</a:t>
                </a:r>
              </a:p>
            </c:rich>
          </c:tx>
          <c:overlay val="0"/>
        </c:title>
        <c:numFmt formatCode="0.00" sourceLinked="0"/>
        <c:majorTickMark val="out"/>
        <c:minorTickMark val="none"/>
        <c:tickLblPos val="nextTo"/>
        <c:spPr>
          <a:ln>
            <a:noFill/>
          </a:ln>
        </c:spPr>
        <c:crossAx val="586458544"/>
        <c:crosses val="autoZero"/>
        <c:crossBetween val="midCat"/>
      </c:valAx>
      <c:spPr>
        <a:noFill/>
        <a:ln w="25400">
          <a:noFill/>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CO2 Production</a:t>
            </a:r>
          </a:p>
        </c:rich>
      </c:tx>
      <c:overlay val="0"/>
    </c:title>
    <c:autoTitleDeleted val="0"/>
    <c:plotArea>
      <c:layout/>
      <c:scatterChart>
        <c:scatterStyle val="smoothMarker"/>
        <c:varyColors val="0"/>
        <c:ser>
          <c:idx val="0"/>
          <c:order val="0"/>
          <c:tx>
            <c:v>CO2 Production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Data'!$V$7:$V$58</c:f>
              <c:numCache>
                <c:formatCode>0.0000</c:formatCode>
                <c:ptCount val="52"/>
                <c:pt idx="0">
                  <c:v>0.13650000000000001</c:v>
                </c:pt>
                <c:pt idx="1">
                  <c:v>0.13650000000000001</c:v>
                </c:pt>
                <c:pt idx="2">
                  <c:v>0.13650000000000001</c:v>
                </c:pt>
                <c:pt idx="3">
                  <c:v>0.13650000000000001</c:v>
                </c:pt>
                <c:pt idx="4">
                  <c:v>0.13650000000000001</c:v>
                </c:pt>
                <c:pt idx="5">
                  <c:v>0.13650000000000001</c:v>
                </c:pt>
                <c:pt idx="6">
                  <c:v>0.13650000000000001</c:v>
                </c:pt>
                <c:pt idx="7">
                  <c:v>0.13650000000000001</c:v>
                </c:pt>
                <c:pt idx="8">
                  <c:v>0.13650000000000001</c:v>
                </c:pt>
                <c:pt idx="9">
                  <c:v>0.13650000000000001</c:v>
                </c:pt>
                <c:pt idx="10">
                  <c:v>0.21599999999999997</c:v>
                </c:pt>
                <c:pt idx="11">
                  <c:v>0.21599999999999997</c:v>
                </c:pt>
                <c:pt idx="12">
                  <c:v>0.21599999999999997</c:v>
                </c:pt>
                <c:pt idx="13">
                  <c:v>0.21599999999999997</c:v>
                </c:pt>
                <c:pt idx="14">
                  <c:v>0.21599999999999997</c:v>
                </c:pt>
                <c:pt idx="15">
                  <c:v>0.21599999999999997</c:v>
                </c:pt>
                <c:pt idx="16">
                  <c:v>0.21599999999999997</c:v>
                </c:pt>
                <c:pt idx="17">
                  <c:v>0.21599999999999997</c:v>
                </c:pt>
                <c:pt idx="18">
                  <c:v>0.21599999999999997</c:v>
                </c:pt>
                <c:pt idx="19">
                  <c:v>1.4954999999999998</c:v>
                </c:pt>
                <c:pt idx="20">
                  <c:v>0.21599999999999997</c:v>
                </c:pt>
                <c:pt idx="21">
                  <c:v>0.21599999999999997</c:v>
                </c:pt>
                <c:pt idx="22">
                  <c:v>0.21599999999999997</c:v>
                </c:pt>
                <c:pt idx="23">
                  <c:v>0.21599999999999997</c:v>
                </c:pt>
                <c:pt idx="24">
                  <c:v>0.21599999999999997</c:v>
                </c:pt>
                <c:pt idx="25">
                  <c:v>0.21599999999999997</c:v>
                </c:pt>
                <c:pt idx="26">
                  <c:v>0.21599999999999997</c:v>
                </c:pt>
                <c:pt idx="27">
                  <c:v>0.21599999999999997</c:v>
                </c:pt>
                <c:pt idx="28">
                  <c:v>0.21599999999999997</c:v>
                </c:pt>
                <c:pt idx="29">
                  <c:v>1.4954999999999998</c:v>
                </c:pt>
                <c:pt idx="30">
                  <c:v>0.21599999999999997</c:v>
                </c:pt>
                <c:pt idx="31">
                  <c:v>0.21599999999999997</c:v>
                </c:pt>
                <c:pt idx="32">
                  <c:v>0.21599999999999997</c:v>
                </c:pt>
                <c:pt idx="33">
                  <c:v>0.21599999999999997</c:v>
                </c:pt>
                <c:pt idx="34">
                  <c:v>0.21599999999999997</c:v>
                </c:pt>
                <c:pt idx="35">
                  <c:v>0.21599999999999997</c:v>
                </c:pt>
                <c:pt idx="36">
                  <c:v>0.21599999999999997</c:v>
                </c:pt>
                <c:pt idx="37">
                  <c:v>0.21599999999999997</c:v>
                </c:pt>
                <c:pt idx="38">
                  <c:v>0.21599999999999997</c:v>
                </c:pt>
                <c:pt idx="39">
                  <c:v>0.21599999999999997</c:v>
                </c:pt>
                <c:pt idx="40">
                  <c:v>0.21599999999999997</c:v>
                </c:pt>
                <c:pt idx="41">
                  <c:v>0.21599999999999997</c:v>
                </c:pt>
                <c:pt idx="42">
                  <c:v>0.13650000000000001</c:v>
                </c:pt>
                <c:pt idx="43">
                  <c:v>0.13650000000000001</c:v>
                </c:pt>
                <c:pt idx="44">
                  <c:v>0.13650000000000001</c:v>
                </c:pt>
                <c:pt idx="45">
                  <c:v>0.13650000000000001</c:v>
                </c:pt>
                <c:pt idx="46">
                  <c:v>0.13650000000000001</c:v>
                </c:pt>
                <c:pt idx="47">
                  <c:v>0.13650000000000001</c:v>
                </c:pt>
                <c:pt idx="48">
                  <c:v>0.21840000000000001</c:v>
                </c:pt>
                <c:pt idx="49">
                  <c:v>0.21840000000000001</c:v>
                </c:pt>
                <c:pt idx="50">
                  <c:v>0.21840000000000001</c:v>
                </c:pt>
                <c:pt idx="51">
                  <c:v>0.21840000000000001</c:v>
                </c:pt>
              </c:numCache>
            </c:numRef>
          </c:yVal>
          <c:smooth val="1"/>
          <c:extLst>
            <c:ext xmlns:c16="http://schemas.microsoft.com/office/drawing/2014/chart" uri="{C3380CC4-5D6E-409C-BE32-E72D297353CC}">
              <c16:uniqueId val="{00000000-8BB7-467E-9E2E-9A6C96E17F28}"/>
            </c:ext>
          </c:extLst>
        </c:ser>
        <c:dLbls>
          <c:showLegendKey val="0"/>
          <c:showVal val="0"/>
          <c:showCatName val="0"/>
          <c:showSerName val="0"/>
          <c:showPercent val="0"/>
          <c:showBubbleSize val="0"/>
        </c:dLbls>
        <c:axId val="556722976"/>
        <c:axId val="556723304"/>
      </c:scatterChart>
      <c:valAx>
        <c:axId val="556722976"/>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6723304"/>
        <c:crosses val="autoZero"/>
        <c:crossBetween val="midCat"/>
        <c:majorUnit val="0.125"/>
      </c:valAx>
      <c:valAx>
        <c:axId val="556723304"/>
        <c:scaling>
          <c:orientation val="minMax"/>
          <c:min val="0"/>
        </c:scaling>
        <c:delete val="0"/>
        <c:axPos val="l"/>
        <c:majorGridlines/>
        <c:title>
          <c:tx>
            <c:rich>
              <a:bodyPr/>
              <a:lstStyle/>
              <a:p>
                <a:pPr>
                  <a:defRPr/>
                </a:pPr>
                <a:r>
                  <a:rPr lang="en-US"/>
                  <a:t>CO2 /</a:t>
                </a:r>
                <a:r>
                  <a:rPr lang="en-US" baseline="0"/>
                  <a:t> </a:t>
                </a:r>
                <a:r>
                  <a:rPr lang="en-US"/>
                  <a:t>kg/h</a:t>
                </a:r>
              </a:p>
            </c:rich>
          </c:tx>
          <c:overlay val="0"/>
        </c:title>
        <c:numFmt formatCode="0.00" sourceLinked="0"/>
        <c:majorTickMark val="out"/>
        <c:minorTickMark val="none"/>
        <c:tickLblPos val="nextTo"/>
        <c:crossAx val="556722976"/>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O2 Consumption</a:t>
            </a:r>
          </a:p>
        </c:rich>
      </c:tx>
      <c:overlay val="0"/>
    </c:title>
    <c:autoTitleDeleted val="0"/>
    <c:plotArea>
      <c:layout/>
      <c:scatterChart>
        <c:scatterStyle val="smoothMarker"/>
        <c:varyColors val="0"/>
        <c:ser>
          <c:idx val="0"/>
          <c:order val="0"/>
          <c:tx>
            <c:v>O2 Consumption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Data'!$X$7:$X$58</c:f>
              <c:numCache>
                <c:formatCode>0.0000</c:formatCode>
                <c:ptCount val="52"/>
                <c:pt idx="0">
                  <c:v>0.10799999999999998</c:v>
                </c:pt>
                <c:pt idx="1">
                  <c:v>0.10799999999999998</c:v>
                </c:pt>
                <c:pt idx="2">
                  <c:v>0.10799999999999998</c:v>
                </c:pt>
                <c:pt idx="3">
                  <c:v>0.10799999999999998</c:v>
                </c:pt>
                <c:pt idx="4">
                  <c:v>0.10799999999999998</c:v>
                </c:pt>
                <c:pt idx="5">
                  <c:v>0.10799999999999998</c:v>
                </c:pt>
                <c:pt idx="6">
                  <c:v>0.10799999999999998</c:v>
                </c:pt>
                <c:pt idx="7">
                  <c:v>0.10799999999999998</c:v>
                </c:pt>
                <c:pt idx="8">
                  <c:v>0.10799999999999998</c:v>
                </c:pt>
                <c:pt idx="9">
                  <c:v>0.10799999999999998</c:v>
                </c:pt>
                <c:pt idx="10">
                  <c:v>0.17039999999999997</c:v>
                </c:pt>
                <c:pt idx="11">
                  <c:v>0.17039999999999997</c:v>
                </c:pt>
                <c:pt idx="12">
                  <c:v>0.17039999999999997</c:v>
                </c:pt>
                <c:pt idx="13">
                  <c:v>0.17039999999999997</c:v>
                </c:pt>
                <c:pt idx="14">
                  <c:v>0.17039999999999997</c:v>
                </c:pt>
                <c:pt idx="15">
                  <c:v>0.17039999999999997</c:v>
                </c:pt>
                <c:pt idx="16">
                  <c:v>0.17039999999999997</c:v>
                </c:pt>
                <c:pt idx="17">
                  <c:v>0.17039999999999997</c:v>
                </c:pt>
                <c:pt idx="18">
                  <c:v>0.17039999999999997</c:v>
                </c:pt>
                <c:pt idx="19">
                  <c:v>1.1820000000000002</c:v>
                </c:pt>
                <c:pt idx="20">
                  <c:v>0.17039999999999997</c:v>
                </c:pt>
                <c:pt idx="21">
                  <c:v>0.17039999999999997</c:v>
                </c:pt>
                <c:pt idx="22">
                  <c:v>0.17039999999999997</c:v>
                </c:pt>
                <c:pt idx="23">
                  <c:v>0.17039999999999997</c:v>
                </c:pt>
                <c:pt idx="24">
                  <c:v>0.17039999999999997</c:v>
                </c:pt>
                <c:pt idx="25">
                  <c:v>0.17039999999999997</c:v>
                </c:pt>
                <c:pt idx="26">
                  <c:v>0.17039999999999997</c:v>
                </c:pt>
                <c:pt idx="27">
                  <c:v>0.17039999999999997</c:v>
                </c:pt>
                <c:pt idx="28">
                  <c:v>0.17039999999999997</c:v>
                </c:pt>
                <c:pt idx="29">
                  <c:v>1.1820000000000002</c:v>
                </c:pt>
                <c:pt idx="30">
                  <c:v>0.17039999999999997</c:v>
                </c:pt>
                <c:pt idx="31">
                  <c:v>0.17039999999999997</c:v>
                </c:pt>
                <c:pt idx="32">
                  <c:v>0.17039999999999997</c:v>
                </c:pt>
                <c:pt idx="33">
                  <c:v>0.17039999999999997</c:v>
                </c:pt>
                <c:pt idx="34">
                  <c:v>0.17039999999999997</c:v>
                </c:pt>
                <c:pt idx="35">
                  <c:v>0.17039999999999997</c:v>
                </c:pt>
                <c:pt idx="36">
                  <c:v>0.17039999999999997</c:v>
                </c:pt>
                <c:pt idx="37">
                  <c:v>0.17039999999999997</c:v>
                </c:pt>
                <c:pt idx="38">
                  <c:v>0.17039999999999997</c:v>
                </c:pt>
                <c:pt idx="39">
                  <c:v>0.17039999999999997</c:v>
                </c:pt>
                <c:pt idx="40">
                  <c:v>0.17039999999999997</c:v>
                </c:pt>
                <c:pt idx="41">
                  <c:v>0.17039999999999997</c:v>
                </c:pt>
                <c:pt idx="42">
                  <c:v>0.10799999999999998</c:v>
                </c:pt>
                <c:pt idx="43">
                  <c:v>0.10799999999999998</c:v>
                </c:pt>
                <c:pt idx="44">
                  <c:v>0.10799999999999998</c:v>
                </c:pt>
                <c:pt idx="45">
                  <c:v>0.10799999999999998</c:v>
                </c:pt>
                <c:pt idx="46">
                  <c:v>0.10799999999999998</c:v>
                </c:pt>
                <c:pt idx="47">
                  <c:v>0.10799999999999998</c:v>
                </c:pt>
                <c:pt idx="48">
                  <c:v>0.17280000000000001</c:v>
                </c:pt>
                <c:pt idx="49">
                  <c:v>0.17280000000000001</c:v>
                </c:pt>
                <c:pt idx="50">
                  <c:v>0.17280000000000001</c:v>
                </c:pt>
                <c:pt idx="51">
                  <c:v>0.17280000000000001</c:v>
                </c:pt>
              </c:numCache>
            </c:numRef>
          </c:yVal>
          <c:smooth val="1"/>
          <c:extLst>
            <c:ext xmlns:c16="http://schemas.microsoft.com/office/drawing/2014/chart" uri="{C3380CC4-5D6E-409C-BE32-E72D297353CC}">
              <c16:uniqueId val="{00000000-16B7-4047-95C3-DBE7EDF7D093}"/>
            </c:ext>
          </c:extLst>
        </c:ser>
        <c:dLbls>
          <c:showLegendKey val="0"/>
          <c:showVal val="0"/>
          <c:showCatName val="0"/>
          <c:showSerName val="0"/>
          <c:showPercent val="0"/>
          <c:showBubbleSize val="0"/>
        </c:dLbls>
        <c:axId val="558555520"/>
        <c:axId val="558557160"/>
      </c:scatterChart>
      <c:valAx>
        <c:axId val="558555520"/>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8557160"/>
        <c:crosses val="autoZero"/>
        <c:crossBetween val="midCat"/>
        <c:majorUnit val="0.125"/>
      </c:valAx>
      <c:valAx>
        <c:axId val="558557160"/>
        <c:scaling>
          <c:orientation val="minMax"/>
          <c:min val="0"/>
        </c:scaling>
        <c:delete val="0"/>
        <c:axPos val="l"/>
        <c:majorGridlines/>
        <c:title>
          <c:tx>
            <c:rich>
              <a:bodyPr/>
              <a:lstStyle/>
              <a:p>
                <a:pPr>
                  <a:defRPr/>
                </a:pPr>
                <a:r>
                  <a:rPr lang="en-US"/>
                  <a:t>O2 Need / kg/h</a:t>
                </a:r>
              </a:p>
            </c:rich>
          </c:tx>
          <c:overlay val="0"/>
        </c:title>
        <c:numFmt formatCode="0.00" sourceLinked="0"/>
        <c:majorTickMark val="out"/>
        <c:minorTickMark val="none"/>
        <c:tickLblPos val="nextTo"/>
        <c:crossAx val="558555520"/>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O2 Partial Pressure</a:t>
            </a:r>
          </a:p>
        </c:rich>
      </c:tx>
      <c:overlay val="0"/>
    </c:title>
    <c:autoTitleDeleted val="0"/>
    <c:plotArea>
      <c:layout/>
      <c:scatterChart>
        <c:scatterStyle val="smoothMarker"/>
        <c:varyColors val="0"/>
        <c:ser>
          <c:idx val="0"/>
          <c:order val="0"/>
          <c:tx>
            <c:v>Partial CO2 Pressure</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Data'!$Y$7:$Y$162</c:f>
              <c:numCache>
                <c:formatCode>0.0000</c:formatCode>
                <c:ptCount val="156"/>
                <c:pt idx="0">
                  <c:v>21</c:v>
                </c:pt>
                <c:pt idx="1">
                  <c:v>20.974204214169649</c:v>
                </c:pt>
                <c:pt idx="2">
                  <c:v>20.948409137282606</c:v>
                </c:pt>
                <c:pt idx="3">
                  <c:v>20.922614769338882</c:v>
                </c:pt>
                <c:pt idx="4">
                  <c:v>20.896821110338468</c:v>
                </c:pt>
                <c:pt idx="5">
                  <c:v>20.871028160281366</c:v>
                </c:pt>
                <c:pt idx="6">
                  <c:v>20.845235919167578</c:v>
                </c:pt>
                <c:pt idx="7">
                  <c:v>20.819444386997102</c:v>
                </c:pt>
                <c:pt idx="8">
                  <c:v>20.79365356376994</c:v>
                </c:pt>
                <c:pt idx="9">
                  <c:v>20.767863449486086</c:v>
                </c:pt>
                <c:pt idx="10">
                  <c:v>20.74207404414555</c:v>
                </c:pt>
                <c:pt idx="11">
                  <c:v>20.735501944259514</c:v>
                </c:pt>
                <c:pt idx="12">
                  <c:v>20.728929889090875</c:v>
                </c:pt>
                <c:pt idx="13">
                  <c:v>20.722357878639627</c:v>
                </c:pt>
                <c:pt idx="14">
                  <c:v>20.715785912905776</c:v>
                </c:pt>
                <c:pt idx="15">
                  <c:v>20.709213991889314</c:v>
                </c:pt>
                <c:pt idx="16">
                  <c:v>20.702642115590251</c:v>
                </c:pt>
                <c:pt idx="17">
                  <c:v>20.696070284008581</c:v>
                </c:pt>
                <c:pt idx="18">
                  <c:v>20.689498497144303</c:v>
                </c:pt>
                <c:pt idx="19">
                  <c:v>20.682926754997418</c:v>
                </c:pt>
                <c:pt idx="20">
                  <c:v>20.986232365898267</c:v>
                </c:pt>
                <c:pt idx="21">
                  <c:v>20.980468252466888</c:v>
                </c:pt>
                <c:pt idx="22">
                  <c:v>20.97470368226158</c:v>
                </c:pt>
                <c:pt idx="23">
                  <c:v>20.968129978940755</c:v>
                </c:pt>
                <c:pt idx="24">
                  <c:v>20.96155632033733</c:v>
                </c:pt>
                <c:pt idx="25">
                  <c:v>20.9549827064513</c:v>
                </c:pt>
                <c:pt idx="26">
                  <c:v>20.94840913728266</c:v>
                </c:pt>
                <c:pt idx="27">
                  <c:v>20.941835612831415</c:v>
                </c:pt>
                <c:pt idx="28">
                  <c:v>20.935262133097563</c:v>
                </c:pt>
                <c:pt idx="29">
                  <c:v>20.928688698081107</c:v>
                </c:pt>
                <c:pt idx="30">
                  <c:v>21.232054875173979</c:v>
                </c:pt>
                <c:pt idx="31">
                  <c:v>21.226298442180457</c:v>
                </c:pt>
                <c:pt idx="32">
                  <c:v>21.220541552413007</c:v>
                </c:pt>
                <c:pt idx="33">
                  <c:v>21.213966156222615</c:v>
                </c:pt>
                <c:pt idx="34">
                  <c:v>21.207390804749611</c:v>
                </c:pt>
                <c:pt idx="35">
                  <c:v>21.200815497994007</c:v>
                </c:pt>
                <c:pt idx="36">
                  <c:v>21.194240235955796</c:v>
                </c:pt>
                <c:pt idx="37">
                  <c:v>21.187665018634981</c:v>
                </c:pt>
                <c:pt idx="38">
                  <c:v>21.181089846031551</c:v>
                </c:pt>
                <c:pt idx="39">
                  <c:v>21.174514718145524</c:v>
                </c:pt>
                <c:pt idx="40">
                  <c:v>21.167939634976886</c:v>
                </c:pt>
                <c:pt idx="41">
                  <c:v>21.16136459652564</c:v>
                </c:pt>
                <c:pt idx="42">
                  <c:v>21.154789602791794</c:v>
                </c:pt>
                <c:pt idx="43">
                  <c:v>21.128989563301563</c:v>
                </c:pt>
                <c:pt idx="44">
                  <c:v>21.103190232754645</c:v>
                </c:pt>
                <c:pt idx="45">
                  <c:v>21.077391611151043</c:v>
                </c:pt>
                <c:pt idx="46">
                  <c:v>21.051593698490748</c:v>
                </c:pt>
                <c:pt idx="47">
                  <c:v>21.025796494773772</c:v>
                </c:pt>
                <c:pt idx="48">
                  <c:v>21.165039820818979</c:v>
                </c:pt>
                <c:pt idx="49">
                  <c:v>21.123777244496775</c:v>
                </c:pt>
                <c:pt idx="50">
                  <c:v>21.082516415586213</c:v>
                </c:pt>
                <c:pt idx="51">
                  <c:v>21.041257334087287</c:v>
                </c:pt>
              </c:numCache>
            </c:numRef>
          </c:yVal>
          <c:smooth val="1"/>
          <c:extLst>
            <c:ext xmlns:c16="http://schemas.microsoft.com/office/drawing/2014/chart" uri="{C3380CC4-5D6E-409C-BE32-E72D297353CC}">
              <c16:uniqueId val="{00000000-8E7B-41D9-9EA5-B212567691A5}"/>
            </c:ext>
          </c:extLst>
        </c:ser>
        <c:dLbls>
          <c:showLegendKey val="0"/>
          <c:showVal val="0"/>
          <c:showCatName val="0"/>
          <c:showSerName val="0"/>
          <c:showPercent val="0"/>
          <c:showBubbleSize val="0"/>
        </c:dLbls>
        <c:axId val="553812992"/>
        <c:axId val="553810368"/>
      </c:scatterChart>
      <c:valAx>
        <c:axId val="553812992"/>
        <c:scaling>
          <c:orientation val="minMax"/>
          <c:max val="1"/>
          <c:min val="0"/>
        </c:scaling>
        <c:delete val="0"/>
        <c:axPos val="b"/>
        <c:title>
          <c:tx>
            <c:rich>
              <a:bodyPr/>
              <a:lstStyle/>
              <a:p>
                <a:pPr>
                  <a:defRPr/>
                </a:pPr>
                <a:r>
                  <a:rPr lang="en-US"/>
                  <a:t>Time [h]</a:t>
                </a:r>
              </a:p>
            </c:rich>
          </c:tx>
          <c:overlay val="0"/>
        </c:title>
        <c:numFmt formatCode="h:mm;@" sourceLinked="0"/>
        <c:majorTickMark val="out"/>
        <c:minorTickMark val="none"/>
        <c:tickLblPos val="nextTo"/>
        <c:crossAx val="553810368"/>
        <c:crosses val="autoZero"/>
        <c:crossBetween val="midCat"/>
        <c:majorUnit val="0.125"/>
      </c:valAx>
      <c:valAx>
        <c:axId val="553810368"/>
        <c:scaling>
          <c:orientation val="minMax"/>
        </c:scaling>
        <c:delete val="0"/>
        <c:axPos val="l"/>
        <c:majorGridlines/>
        <c:title>
          <c:tx>
            <c:rich>
              <a:bodyPr/>
              <a:lstStyle/>
              <a:p>
                <a:pPr>
                  <a:defRPr/>
                </a:pPr>
                <a:r>
                  <a:rPr lang="en-US"/>
                  <a:t>O2 Partial Pressure /</a:t>
                </a:r>
                <a:r>
                  <a:rPr lang="en-US" baseline="0"/>
                  <a:t> </a:t>
                </a:r>
                <a:r>
                  <a:rPr lang="en-US"/>
                  <a:t>kPa</a:t>
                </a:r>
              </a:p>
            </c:rich>
          </c:tx>
          <c:overlay val="0"/>
        </c:title>
        <c:numFmt formatCode="0.00" sourceLinked="0"/>
        <c:majorTickMark val="out"/>
        <c:minorTickMark val="none"/>
        <c:tickLblPos val="nextTo"/>
        <c:crossAx val="553812992"/>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Water Needs</a:t>
            </a:r>
          </a:p>
        </c:rich>
      </c:tx>
      <c:overlay val="0"/>
    </c:title>
    <c:autoTitleDeleted val="0"/>
    <c:plotArea>
      <c:layout/>
      <c:scatterChart>
        <c:scatterStyle val="smoothMarker"/>
        <c:varyColors val="0"/>
        <c:ser>
          <c:idx val="0"/>
          <c:order val="0"/>
          <c:tx>
            <c:v>Potable Water</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Data'!$AD$7:$AD$58</c:f>
              <c:numCache>
                <c:formatCode>0.00</c:formatCode>
                <c:ptCount val="52"/>
                <c:pt idx="0">
                  <c:v>0</c:v>
                </c:pt>
                <c:pt idx="1">
                  <c:v>0</c:v>
                </c:pt>
                <c:pt idx="2">
                  <c:v>0</c:v>
                </c:pt>
                <c:pt idx="3">
                  <c:v>0</c:v>
                </c:pt>
                <c:pt idx="4">
                  <c:v>0</c:v>
                </c:pt>
                <c:pt idx="5">
                  <c:v>0</c:v>
                </c:pt>
                <c:pt idx="6">
                  <c:v>0</c:v>
                </c:pt>
                <c:pt idx="7">
                  <c:v>0</c:v>
                </c:pt>
                <c:pt idx="8">
                  <c:v>0</c:v>
                </c:pt>
                <c:pt idx="9">
                  <c:v>0</c:v>
                </c:pt>
                <c:pt idx="10">
                  <c:v>0</c:v>
                </c:pt>
                <c:pt idx="11">
                  <c:v>6.9577333333333327</c:v>
                </c:pt>
                <c:pt idx="12">
                  <c:v>0</c:v>
                </c:pt>
                <c:pt idx="13">
                  <c:v>0</c:v>
                </c:pt>
                <c:pt idx="14">
                  <c:v>0</c:v>
                </c:pt>
                <c:pt idx="15">
                  <c:v>0</c:v>
                </c:pt>
                <c:pt idx="16">
                  <c:v>0</c:v>
                </c:pt>
                <c:pt idx="17">
                  <c:v>0</c:v>
                </c:pt>
                <c:pt idx="18">
                  <c:v>0</c:v>
                </c:pt>
                <c:pt idx="19">
                  <c:v>0</c:v>
                </c:pt>
                <c:pt idx="20">
                  <c:v>1.9396124999999997</c:v>
                </c:pt>
                <c:pt idx="21">
                  <c:v>1.9396124999999997</c:v>
                </c:pt>
                <c:pt idx="22">
                  <c:v>3.4788666666666663</c:v>
                </c:pt>
                <c:pt idx="23">
                  <c:v>3.4788666666666663</c:v>
                </c:pt>
                <c:pt idx="24">
                  <c:v>0</c:v>
                </c:pt>
                <c:pt idx="25">
                  <c:v>0</c:v>
                </c:pt>
                <c:pt idx="26">
                  <c:v>0</c:v>
                </c:pt>
                <c:pt idx="27">
                  <c:v>0</c:v>
                </c:pt>
                <c:pt idx="28">
                  <c:v>0</c:v>
                </c:pt>
                <c:pt idx="29">
                  <c:v>0</c:v>
                </c:pt>
                <c:pt idx="30">
                  <c:v>1.9396124999999997</c:v>
                </c:pt>
                <c:pt idx="31">
                  <c:v>1.9396124999999997</c:v>
                </c:pt>
                <c:pt idx="32">
                  <c:v>0</c:v>
                </c:pt>
                <c:pt idx="33">
                  <c:v>0</c:v>
                </c:pt>
                <c:pt idx="34">
                  <c:v>3.4788666666666663</c:v>
                </c:pt>
                <c:pt idx="35">
                  <c:v>3.4788666666666663</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yVal>
          <c:smooth val="1"/>
          <c:extLst>
            <c:ext xmlns:c16="http://schemas.microsoft.com/office/drawing/2014/chart" uri="{C3380CC4-5D6E-409C-BE32-E72D297353CC}">
              <c16:uniqueId val="{00000000-1540-4F0B-99DF-89C8C29ABF7C}"/>
            </c:ext>
          </c:extLst>
        </c:ser>
        <c:ser>
          <c:idx val="1"/>
          <c:order val="1"/>
          <c:tx>
            <c:v>Hygiene Water</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Data'!$AC$7:$AC$58</c:f>
              <c:numCache>
                <c:formatCode>0.0000</c:formatCode>
                <c:ptCount val="52"/>
                <c:pt idx="0">
                  <c:v>0</c:v>
                </c:pt>
                <c:pt idx="1">
                  <c:v>0</c:v>
                </c:pt>
                <c:pt idx="2">
                  <c:v>0</c:v>
                </c:pt>
                <c:pt idx="3">
                  <c:v>0</c:v>
                </c:pt>
                <c:pt idx="4">
                  <c:v>0</c:v>
                </c:pt>
                <c:pt idx="5">
                  <c:v>0</c:v>
                </c:pt>
                <c:pt idx="6">
                  <c:v>0</c:v>
                </c:pt>
                <c:pt idx="7">
                  <c:v>0</c:v>
                </c:pt>
                <c:pt idx="8">
                  <c:v>0</c:v>
                </c:pt>
                <c:pt idx="9">
                  <c:v>0</c:v>
                </c:pt>
                <c:pt idx="10">
                  <c:v>0</c:v>
                </c:pt>
                <c:pt idx="11">
                  <c:v>0</c:v>
                </c:pt>
                <c:pt idx="12">
                  <c:v>4.0000000000000009</c:v>
                </c:pt>
                <c:pt idx="13">
                  <c:v>0</c:v>
                </c:pt>
                <c:pt idx="14">
                  <c:v>0</c:v>
                </c:pt>
                <c:pt idx="15">
                  <c:v>0</c:v>
                </c:pt>
                <c:pt idx="16">
                  <c:v>0</c:v>
                </c:pt>
                <c:pt idx="17">
                  <c:v>0</c:v>
                </c:pt>
                <c:pt idx="18">
                  <c:v>0</c:v>
                </c:pt>
                <c:pt idx="19">
                  <c:v>0</c:v>
                </c:pt>
                <c:pt idx="20">
                  <c:v>0.50000000000000011</c:v>
                </c:pt>
                <c:pt idx="21">
                  <c:v>0.50000000000000011</c:v>
                </c:pt>
                <c:pt idx="22">
                  <c:v>0.50000000000000011</c:v>
                </c:pt>
                <c:pt idx="23">
                  <c:v>0.50000000000000011</c:v>
                </c:pt>
                <c:pt idx="24">
                  <c:v>0</c:v>
                </c:pt>
                <c:pt idx="25">
                  <c:v>0</c:v>
                </c:pt>
                <c:pt idx="26">
                  <c:v>0</c:v>
                </c:pt>
                <c:pt idx="27">
                  <c:v>0</c:v>
                </c:pt>
                <c:pt idx="28">
                  <c:v>0</c:v>
                </c:pt>
                <c:pt idx="29">
                  <c:v>0</c:v>
                </c:pt>
                <c:pt idx="30">
                  <c:v>0.50000000000000011</c:v>
                </c:pt>
                <c:pt idx="31">
                  <c:v>0.50000000000000011</c:v>
                </c:pt>
                <c:pt idx="32">
                  <c:v>0</c:v>
                </c:pt>
                <c:pt idx="33">
                  <c:v>0</c:v>
                </c:pt>
                <c:pt idx="34">
                  <c:v>0.50000000000000011</c:v>
                </c:pt>
                <c:pt idx="35">
                  <c:v>0.50000000000000011</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yVal>
          <c:smooth val="1"/>
          <c:extLst>
            <c:ext xmlns:c16="http://schemas.microsoft.com/office/drawing/2014/chart" uri="{C3380CC4-5D6E-409C-BE32-E72D297353CC}">
              <c16:uniqueId val="{00000001-1540-4F0B-99DF-89C8C29ABF7C}"/>
            </c:ext>
          </c:extLst>
        </c:ser>
        <c:dLbls>
          <c:showLegendKey val="0"/>
          <c:showVal val="0"/>
          <c:showCatName val="0"/>
          <c:showSerName val="0"/>
          <c:showPercent val="0"/>
          <c:showBubbleSize val="0"/>
        </c:dLbls>
        <c:axId val="549010576"/>
        <c:axId val="548659824"/>
      </c:scatterChart>
      <c:valAx>
        <c:axId val="549010576"/>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48659824"/>
        <c:crosses val="autoZero"/>
        <c:crossBetween val="midCat"/>
        <c:majorUnit val="0.125"/>
      </c:valAx>
      <c:valAx>
        <c:axId val="548659824"/>
        <c:scaling>
          <c:orientation val="minMax"/>
          <c:min val="0"/>
        </c:scaling>
        <c:delete val="0"/>
        <c:axPos val="l"/>
        <c:majorGridlines/>
        <c:title>
          <c:tx>
            <c:rich>
              <a:bodyPr/>
              <a:lstStyle/>
              <a:p>
                <a:pPr>
                  <a:defRPr/>
                </a:pPr>
                <a:r>
                  <a:rPr lang="en-US"/>
                  <a:t>Water Need /</a:t>
                </a:r>
                <a:r>
                  <a:rPr lang="en-US" baseline="0"/>
                  <a:t> </a:t>
                </a:r>
                <a:r>
                  <a:rPr lang="en-US"/>
                  <a:t>kg/h</a:t>
                </a:r>
              </a:p>
            </c:rich>
          </c:tx>
          <c:overlay val="0"/>
        </c:title>
        <c:numFmt formatCode="0.0" sourceLinked="0"/>
        <c:majorTickMark val="out"/>
        <c:minorTickMark val="none"/>
        <c:tickLblPos val="nextTo"/>
        <c:crossAx val="549010576"/>
        <c:crosses val="autoZero"/>
        <c:crossBetween val="midCat"/>
      </c:valAx>
      <c:spPr>
        <a:ln>
          <a:solidFill>
            <a:srgbClr val="008080"/>
          </a:solidFill>
          <a:prstDash val="solid"/>
        </a:ln>
      </c:spPr>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WW and Urine Production</a:t>
            </a:r>
          </a:p>
        </c:rich>
      </c:tx>
      <c:overlay val="0"/>
    </c:title>
    <c:autoTitleDeleted val="0"/>
    <c:plotArea>
      <c:layout/>
      <c:scatterChart>
        <c:scatterStyle val="smoothMarker"/>
        <c:varyColors val="0"/>
        <c:ser>
          <c:idx val="0"/>
          <c:order val="0"/>
          <c:tx>
            <c:v>Humidity Prodcution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Data'!$Z$7:$Z$58</c:f>
              <c:numCache>
                <c:formatCode>0.0000</c:formatCode>
                <c:ptCount val="52"/>
                <c:pt idx="0">
                  <c:v>0.1938</c:v>
                </c:pt>
                <c:pt idx="1">
                  <c:v>0.1938</c:v>
                </c:pt>
                <c:pt idx="2">
                  <c:v>0.1938</c:v>
                </c:pt>
                <c:pt idx="3">
                  <c:v>0.1938</c:v>
                </c:pt>
                <c:pt idx="4">
                  <c:v>0.1938</c:v>
                </c:pt>
                <c:pt idx="5">
                  <c:v>0.1938</c:v>
                </c:pt>
                <c:pt idx="6">
                  <c:v>0.1938</c:v>
                </c:pt>
                <c:pt idx="7">
                  <c:v>0.1938</c:v>
                </c:pt>
                <c:pt idx="8">
                  <c:v>0.1938</c:v>
                </c:pt>
                <c:pt idx="9">
                  <c:v>0.1938</c:v>
                </c:pt>
                <c:pt idx="10">
                  <c:v>0.3579</c:v>
                </c:pt>
                <c:pt idx="11">
                  <c:v>0.3579</c:v>
                </c:pt>
                <c:pt idx="12">
                  <c:v>0.3579</c:v>
                </c:pt>
                <c:pt idx="13">
                  <c:v>0.3579</c:v>
                </c:pt>
                <c:pt idx="14">
                  <c:v>0.3579</c:v>
                </c:pt>
                <c:pt idx="15">
                  <c:v>0.3579</c:v>
                </c:pt>
                <c:pt idx="16">
                  <c:v>0.3579</c:v>
                </c:pt>
                <c:pt idx="17">
                  <c:v>0.3579</c:v>
                </c:pt>
                <c:pt idx="18">
                  <c:v>0.3579</c:v>
                </c:pt>
                <c:pt idx="19">
                  <c:v>2.6997</c:v>
                </c:pt>
                <c:pt idx="20">
                  <c:v>1.4109</c:v>
                </c:pt>
                <c:pt idx="21">
                  <c:v>1.4109</c:v>
                </c:pt>
                <c:pt idx="22">
                  <c:v>0.3579</c:v>
                </c:pt>
                <c:pt idx="23">
                  <c:v>0.3579</c:v>
                </c:pt>
                <c:pt idx="24">
                  <c:v>0.3579</c:v>
                </c:pt>
                <c:pt idx="25">
                  <c:v>0.3579</c:v>
                </c:pt>
                <c:pt idx="26">
                  <c:v>0.3579</c:v>
                </c:pt>
                <c:pt idx="27">
                  <c:v>0.3579</c:v>
                </c:pt>
                <c:pt idx="28">
                  <c:v>0.3579</c:v>
                </c:pt>
                <c:pt idx="29">
                  <c:v>2.6997</c:v>
                </c:pt>
                <c:pt idx="30">
                  <c:v>1.4109</c:v>
                </c:pt>
                <c:pt idx="31">
                  <c:v>1.4109</c:v>
                </c:pt>
                <c:pt idx="32">
                  <c:v>0.3579</c:v>
                </c:pt>
                <c:pt idx="33">
                  <c:v>0.3579</c:v>
                </c:pt>
                <c:pt idx="34">
                  <c:v>0.3579</c:v>
                </c:pt>
                <c:pt idx="35">
                  <c:v>0.3579</c:v>
                </c:pt>
                <c:pt idx="36">
                  <c:v>0.3579</c:v>
                </c:pt>
                <c:pt idx="37">
                  <c:v>0.3579</c:v>
                </c:pt>
                <c:pt idx="38">
                  <c:v>0.3579</c:v>
                </c:pt>
                <c:pt idx="39">
                  <c:v>0.3579</c:v>
                </c:pt>
                <c:pt idx="40">
                  <c:v>0.3579</c:v>
                </c:pt>
                <c:pt idx="41">
                  <c:v>0.3579</c:v>
                </c:pt>
                <c:pt idx="42">
                  <c:v>0.1938</c:v>
                </c:pt>
                <c:pt idx="43">
                  <c:v>0.1938</c:v>
                </c:pt>
                <c:pt idx="44">
                  <c:v>0.1938</c:v>
                </c:pt>
                <c:pt idx="45">
                  <c:v>0.1938</c:v>
                </c:pt>
                <c:pt idx="46">
                  <c:v>0.1938</c:v>
                </c:pt>
                <c:pt idx="47">
                  <c:v>0.1938</c:v>
                </c:pt>
                <c:pt idx="48">
                  <c:v>0.31040000000000001</c:v>
                </c:pt>
                <c:pt idx="49">
                  <c:v>0.31040000000000001</c:v>
                </c:pt>
                <c:pt idx="50">
                  <c:v>0.31040000000000001</c:v>
                </c:pt>
                <c:pt idx="51">
                  <c:v>0.31040000000000001</c:v>
                </c:pt>
              </c:numCache>
            </c:numRef>
          </c:yVal>
          <c:smooth val="1"/>
          <c:extLst>
            <c:ext xmlns:c16="http://schemas.microsoft.com/office/drawing/2014/chart" uri="{C3380CC4-5D6E-409C-BE32-E72D297353CC}">
              <c16:uniqueId val="{00000000-DAE3-4332-BFB7-369BDC700A9D}"/>
            </c:ext>
          </c:extLst>
        </c:ser>
        <c:ser>
          <c:idx val="1"/>
          <c:order val="1"/>
          <c:tx>
            <c:v>Urine Production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Data'!$AA$7:$AA$58</c:f>
              <c:numCache>
                <c:formatCode>0.0000</c:formatCode>
                <c:ptCount val="52"/>
                <c:pt idx="0">
                  <c:v>0</c:v>
                </c:pt>
                <c:pt idx="1">
                  <c:v>0</c:v>
                </c:pt>
                <c:pt idx="2">
                  <c:v>0</c:v>
                </c:pt>
                <c:pt idx="3">
                  <c:v>0</c:v>
                </c:pt>
                <c:pt idx="4">
                  <c:v>0</c:v>
                </c:pt>
                <c:pt idx="5">
                  <c:v>0</c:v>
                </c:pt>
                <c:pt idx="6">
                  <c:v>0</c:v>
                </c:pt>
                <c:pt idx="7">
                  <c:v>0</c:v>
                </c:pt>
                <c:pt idx="8">
                  <c:v>0</c:v>
                </c:pt>
                <c:pt idx="9">
                  <c:v>0</c:v>
                </c:pt>
                <c:pt idx="10">
                  <c:v>5.333333333333333</c:v>
                </c:pt>
                <c:pt idx="11">
                  <c:v>0</c:v>
                </c:pt>
                <c:pt idx="12">
                  <c:v>5.333333333333333</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2.6666666666666665</c:v>
                </c:pt>
                <c:pt idx="41">
                  <c:v>2.6666666666666665</c:v>
                </c:pt>
                <c:pt idx="42">
                  <c:v>0</c:v>
                </c:pt>
                <c:pt idx="43">
                  <c:v>0</c:v>
                </c:pt>
                <c:pt idx="44">
                  <c:v>0</c:v>
                </c:pt>
                <c:pt idx="45">
                  <c:v>0</c:v>
                </c:pt>
                <c:pt idx="46">
                  <c:v>0</c:v>
                </c:pt>
                <c:pt idx="47">
                  <c:v>0</c:v>
                </c:pt>
                <c:pt idx="48">
                  <c:v>0</c:v>
                </c:pt>
                <c:pt idx="49">
                  <c:v>0</c:v>
                </c:pt>
                <c:pt idx="50">
                  <c:v>0</c:v>
                </c:pt>
                <c:pt idx="51">
                  <c:v>0</c:v>
                </c:pt>
              </c:numCache>
            </c:numRef>
          </c:yVal>
          <c:smooth val="1"/>
          <c:extLst>
            <c:ext xmlns:c16="http://schemas.microsoft.com/office/drawing/2014/chart" uri="{C3380CC4-5D6E-409C-BE32-E72D297353CC}">
              <c16:uniqueId val="{00000001-DAE3-4332-BFB7-369BDC700A9D}"/>
            </c:ext>
          </c:extLst>
        </c:ser>
        <c:ser>
          <c:idx val="2"/>
          <c:order val="2"/>
          <c:tx>
            <c:v>Hygiene WW Production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Data'!$AB$7:$AB$58</c:f>
              <c:numCache>
                <c:formatCode>0.0000</c:formatCode>
                <c:ptCount val="52"/>
                <c:pt idx="0">
                  <c:v>0.1938</c:v>
                </c:pt>
                <c:pt idx="1">
                  <c:v>0.1938</c:v>
                </c:pt>
                <c:pt idx="2">
                  <c:v>0.1938</c:v>
                </c:pt>
                <c:pt idx="3">
                  <c:v>0.1938</c:v>
                </c:pt>
                <c:pt idx="4">
                  <c:v>0.1938</c:v>
                </c:pt>
                <c:pt idx="5">
                  <c:v>0.1938</c:v>
                </c:pt>
                <c:pt idx="6">
                  <c:v>0.1938</c:v>
                </c:pt>
                <c:pt idx="7">
                  <c:v>0.1938</c:v>
                </c:pt>
                <c:pt idx="8">
                  <c:v>0.1938</c:v>
                </c:pt>
                <c:pt idx="9">
                  <c:v>0.1938</c:v>
                </c:pt>
                <c:pt idx="10">
                  <c:v>0.3579</c:v>
                </c:pt>
                <c:pt idx="11">
                  <c:v>0.3579</c:v>
                </c:pt>
                <c:pt idx="12">
                  <c:v>4.3579000000000017</c:v>
                </c:pt>
                <c:pt idx="13">
                  <c:v>0.3579</c:v>
                </c:pt>
                <c:pt idx="14">
                  <c:v>0.3579</c:v>
                </c:pt>
                <c:pt idx="15">
                  <c:v>0.3579</c:v>
                </c:pt>
                <c:pt idx="16">
                  <c:v>0.3579</c:v>
                </c:pt>
                <c:pt idx="17">
                  <c:v>0.3579</c:v>
                </c:pt>
                <c:pt idx="18">
                  <c:v>0.3579</c:v>
                </c:pt>
                <c:pt idx="19">
                  <c:v>2.6997</c:v>
                </c:pt>
                <c:pt idx="20">
                  <c:v>1.9109000000000003</c:v>
                </c:pt>
                <c:pt idx="21">
                  <c:v>1.9109000000000003</c:v>
                </c:pt>
                <c:pt idx="22">
                  <c:v>0.85790000000000011</c:v>
                </c:pt>
                <c:pt idx="23">
                  <c:v>0.85790000000000011</c:v>
                </c:pt>
                <c:pt idx="24">
                  <c:v>0.3579</c:v>
                </c:pt>
                <c:pt idx="25">
                  <c:v>0.3579</c:v>
                </c:pt>
                <c:pt idx="26">
                  <c:v>0.3579</c:v>
                </c:pt>
                <c:pt idx="27">
                  <c:v>0.3579</c:v>
                </c:pt>
                <c:pt idx="28">
                  <c:v>0.3579</c:v>
                </c:pt>
                <c:pt idx="29">
                  <c:v>2.6997</c:v>
                </c:pt>
                <c:pt idx="30">
                  <c:v>1.9109000000000003</c:v>
                </c:pt>
                <c:pt idx="31">
                  <c:v>1.9109000000000003</c:v>
                </c:pt>
                <c:pt idx="32">
                  <c:v>0.3579</c:v>
                </c:pt>
                <c:pt idx="33">
                  <c:v>0.3579</c:v>
                </c:pt>
                <c:pt idx="34">
                  <c:v>0.85790000000000011</c:v>
                </c:pt>
                <c:pt idx="35">
                  <c:v>0.85790000000000011</c:v>
                </c:pt>
                <c:pt idx="36">
                  <c:v>0.3579</c:v>
                </c:pt>
                <c:pt idx="37">
                  <c:v>0.3579</c:v>
                </c:pt>
                <c:pt idx="38">
                  <c:v>0.3579</c:v>
                </c:pt>
                <c:pt idx="39">
                  <c:v>0.3579</c:v>
                </c:pt>
                <c:pt idx="40">
                  <c:v>0.3579</c:v>
                </c:pt>
                <c:pt idx="41">
                  <c:v>0.3579</c:v>
                </c:pt>
                <c:pt idx="42">
                  <c:v>0.1938</c:v>
                </c:pt>
                <c:pt idx="43">
                  <c:v>0.1938</c:v>
                </c:pt>
                <c:pt idx="44">
                  <c:v>0.1938</c:v>
                </c:pt>
                <c:pt idx="45">
                  <c:v>0.1938</c:v>
                </c:pt>
                <c:pt idx="46">
                  <c:v>0.1938</c:v>
                </c:pt>
                <c:pt idx="47">
                  <c:v>0.1938</c:v>
                </c:pt>
                <c:pt idx="48">
                  <c:v>0.31040000000000001</c:v>
                </c:pt>
                <c:pt idx="49">
                  <c:v>0.31040000000000001</c:v>
                </c:pt>
                <c:pt idx="50">
                  <c:v>0.31040000000000001</c:v>
                </c:pt>
                <c:pt idx="51">
                  <c:v>0.31040000000000001</c:v>
                </c:pt>
              </c:numCache>
            </c:numRef>
          </c:yVal>
          <c:smooth val="1"/>
          <c:extLst>
            <c:ext xmlns:c16="http://schemas.microsoft.com/office/drawing/2014/chart" uri="{C3380CC4-5D6E-409C-BE32-E72D297353CC}">
              <c16:uniqueId val="{00000002-DAE3-4332-BFB7-369BDC700A9D}"/>
            </c:ext>
          </c:extLst>
        </c:ser>
        <c:dLbls>
          <c:showLegendKey val="0"/>
          <c:showVal val="0"/>
          <c:showCatName val="0"/>
          <c:showSerName val="0"/>
          <c:showPercent val="0"/>
          <c:showBubbleSize val="0"/>
        </c:dLbls>
        <c:axId val="558558472"/>
        <c:axId val="558558800"/>
      </c:scatterChart>
      <c:valAx>
        <c:axId val="558558472"/>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8558800"/>
        <c:crosses val="autoZero"/>
        <c:crossBetween val="midCat"/>
        <c:majorUnit val="0.125"/>
      </c:valAx>
      <c:valAx>
        <c:axId val="558558800"/>
        <c:scaling>
          <c:orientation val="minMax"/>
          <c:min val="0"/>
        </c:scaling>
        <c:delete val="0"/>
        <c:axPos val="l"/>
        <c:majorGridlines/>
        <c:title>
          <c:tx>
            <c:rich>
              <a:bodyPr/>
              <a:lstStyle/>
              <a:p>
                <a:pPr>
                  <a:defRPr/>
                </a:pPr>
                <a:r>
                  <a:rPr lang="en-US"/>
                  <a:t>Water</a:t>
                </a:r>
                <a:r>
                  <a:rPr lang="en-US" baseline="0"/>
                  <a:t> </a:t>
                </a:r>
                <a:r>
                  <a:rPr lang="en-US"/>
                  <a:t>Production /</a:t>
                </a:r>
                <a:r>
                  <a:rPr lang="en-US" baseline="0"/>
                  <a:t> </a:t>
                </a:r>
                <a:r>
                  <a:rPr lang="en-US"/>
                  <a:t>kg/h</a:t>
                </a:r>
              </a:p>
            </c:rich>
          </c:tx>
          <c:overlay val="0"/>
        </c:title>
        <c:numFmt formatCode="0.0" sourceLinked="0"/>
        <c:majorTickMark val="out"/>
        <c:minorTickMark val="none"/>
        <c:tickLblPos val="nextTo"/>
        <c:crossAx val="558558472"/>
        <c:crosses val="autoZero"/>
        <c:crossBetween val="midCat"/>
      </c:valAx>
      <c:spPr>
        <a:ln>
          <a:solidFill>
            <a:srgbClr val="008080"/>
          </a:solidFill>
          <a:prstDash val="solid"/>
        </a:ln>
      </c:spPr>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Temperature</a:t>
            </a:r>
          </a:p>
        </c:rich>
      </c:tx>
      <c:overlay val="0"/>
    </c:title>
    <c:autoTitleDeleted val="0"/>
    <c:plotArea>
      <c:layout/>
      <c:scatterChart>
        <c:scatterStyle val="smoothMarker"/>
        <c:varyColors val="0"/>
        <c:ser>
          <c:idx val="0"/>
          <c:order val="0"/>
          <c:tx>
            <c:v>Temperature</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Data'!$AG$7:$AG$58</c:f>
              <c:numCache>
                <c:formatCode>0.00</c:formatCode>
                <c:ptCount val="52"/>
                <c:pt idx="0">
                  <c:v>293</c:v>
                </c:pt>
                <c:pt idx="1">
                  <c:v>292.99592773328516</c:v>
                </c:pt>
                <c:pt idx="2">
                  <c:v>292.99185546657026</c:v>
                </c:pt>
                <c:pt idx="3">
                  <c:v>292.98778319985541</c:v>
                </c:pt>
                <c:pt idx="4">
                  <c:v>292.98371093314057</c:v>
                </c:pt>
                <c:pt idx="5">
                  <c:v>292.97963866642567</c:v>
                </c:pt>
                <c:pt idx="6">
                  <c:v>292.97556639971083</c:v>
                </c:pt>
                <c:pt idx="7">
                  <c:v>292.97149413299593</c:v>
                </c:pt>
                <c:pt idx="8">
                  <c:v>292.96742186628109</c:v>
                </c:pt>
                <c:pt idx="9">
                  <c:v>292.96334959956619</c:v>
                </c:pt>
                <c:pt idx="10">
                  <c:v>292.95927733285134</c:v>
                </c:pt>
                <c:pt idx="11">
                  <c:v>292.95826973293077</c:v>
                </c:pt>
                <c:pt idx="12">
                  <c:v>292.95726213301026</c:v>
                </c:pt>
                <c:pt idx="13">
                  <c:v>292.95625453308975</c:v>
                </c:pt>
                <c:pt idx="14">
                  <c:v>292.95524693316924</c:v>
                </c:pt>
                <c:pt idx="15">
                  <c:v>292.95423933324867</c:v>
                </c:pt>
                <c:pt idx="16">
                  <c:v>292.95323173332815</c:v>
                </c:pt>
                <c:pt idx="17">
                  <c:v>292.95222413340764</c:v>
                </c:pt>
                <c:pt idx="18">
                  <c:v>292.95121653348713</c:v>
                </c:pt>
                <c:pt idx="19">
                  <c:v>292.95020893356656</c:v>
                </c:pt>
                <c:pt idx="20">
                  <c:v>292.9753012418372</c:v>
                </c:pt>
                <c:pt idx="21">
                  <c:v>292.98559355404501</c:v>
                </c:pt>
                <c:pt idx="22">
                  <c:v>292.99588586625282</c:v>
                </c:pt>
                <c:pt idx="23">
                  <c:v>292.99487826633225</c:v>
                </c:pt>
                <c:pt idx="24">
                  <c:v>292.99387066641174</c:v>
                </c:pt>
                <c:pt idx="25">
                  <c:v>292.99286306649122</c:v>
                </c:pt>
                <c:pt idx="26">
                  <c:v>292.99185546657066</c:v>
                </c:pt>
                <c:pt idx="27">
                  <c:v>292.99084786665014</c:v>
                </c:pt>
                <c:pt idx="28">
                  <c:v>292.98984026672963</c:v>
                </c:pt>
                <c:pt idx="29">
                  <c:v>292.98883266680912</c:v>
                </c:pt>
                <c:pt idx="30">
                  <c:v>293.0139249750797</c:v>
                </c:pt>
                <c:pt idx="31">
                  <c:v>293.02421728728751</c:v>
                </c:pt>
                <c:pt idx="32">
                  <c:v>293.03450959949532</c:v>
                </c:pt>
                <c:pt idx="33">
                  <c:v>293.03350199957481</c:v>
                </c:pt>
                <c:pt idx="34">
                  <c:v>293.03249439965424</c:v>
                </c:pt>
                <c:pt idx="35">
                  <c:v>293.03148679973373</c:v>
                </c:pt>
                <c:pt idx="36">
                  <c:v>293.03047919981321</c:v>
                </c:pt>
                <c:pt idx="37">
                  <c:v>293.0294715998927</c:v>
                </c:pt>
                <c:pt idx="38">
                  <c:v>293.02846399997213</c:v>
                </c:pt>
                <c:pt idx="39">
                  <c:v>293.02745640005162</c:v>
                </c:pt>
                <c:pt idx="40">
                  <c:v>293.02644880013111</c:v>
                </c:pt>
                <c:pt idx="41">
                  <c:v>293.02544120021054</c:v>
                </c:pt>
                <c:pt idx="42">
                  <c:v>293.02443360029002</c:v>
                </c:pt>
                <c:pt idx="43">
                  <c:v>293.02036133357518</c:v>
                </c:pt>
                <c:pt idx="44">
                  <c:v>293.01628906686028</c:v>
                </c:pt>
                <c:pt idx="45">
                  <c:v>293.01221680014544</c:v>
                </c:pt>
                <c:pt idx="46">
                  <c:v>293.00814453343054</c:v>
                </c:pt>
                <c:pt idx="47">
                  <c:v>293.0040722667157</c:v>
                </c:pt>
                <c:pt idx="48">
                  <c:v>293.02509342472484</c:v>
                </c:pt>
                <c:pt idx="49">
                  <c:v>293.01882006854362</c:v>
                </c:pt>
                <c:pt idx="50">
                  <c:v>293.01254671236245</c:v>
                </c:pt>
                <c:pt idx="51">
                  <c:v>293.00627335618123</c:v>
                </c:pt>
              </c:numCache>
            </c:numRef>
          </c:yVal>
          <c:smooth val="1"/>
          <c:extLst>
            <c:ext xmlns:c16="http://schemas.microsoft.com/office/drawing/2014/chart" uri="{C3380CC4-5D6E-409C-BE32-E72D297353CC}">
              <c16:uniqueId val="{00000000-9405-4977-804C-CE394A65C9A0}"/>
            </c:ext>
          </c:extLst>
        </c:ser>
        <c:dLbls>
          <c:showLegendKey val="0"/>
          <c:showVal val="0"/>
          <c:showCatName val="0"/>
          <c:showSerName val="0"/>
          <c:showPercent val="0"/>
          <c:showBubbleSize val="0"/>
        </c:dLbls>
        <c:axId val="558555520"/>
        <c:axId val="558557160"/>
      </c:scatterChart>
      <c:valAx>
        <c:axId val="558555520"/>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8557160"/>
        <c:crosses val="autoZero"/>
        <c:crossBetween val="midCat"/>
        <c:majorUnit val="0.125"/>
      </c:valAx>
      <c:valAx>
        <c:axId val="558557160"/>
        <c:scaling>
          <c:orientation val="minMax"/>
        </c:scaling>
        <c:delete val="0"/>
        <c:axPos val="l"/>
        <c:majorGridlines/>
        <c:title>
          <c:tx>
            <c:rich>
              <a:bodyPr/>
              <a:lstStyle/>
              <a:p>
                <a:pPr>
                  <a:defRPr/>
                </a:pPr>
                <a:r>
                  <a:rPr lang="en-US"/>
                  <a:t>Temperature / K</a:t>
                </a:r>
              </a:p>
            </c:rich>
          </c:tx>
          <c:overlay val="0"/>
        </c:title>
        <c:numFmt formatCode="0.00" sourceLinked="0"/>
        <c:majorTickMark val="out"/>
        <c:minorTickMark val="none"/>
        <c:tickLblPos val="nextTo"/>
        <c:crossAx val="558555520"/>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Flight Criticality Path for Campaign</a:t>
            </a:r>
          </a:p>
        </c:rich>
      </c:tx>
      <c:overlay val="0"/>
    </c:title>
    <c:autoTitleDeleted val="0"/>
    <c:plotArea>
      <c:layout/>
      <c:scatterChart>
        <c:scatterStyle val="lineMarker"/>
        <c:varyColors val="0"/>
        <c:ser>
          <c:idx val="0"/>
          <c:order val="0"/>
          <c:spPr>
            <a:ln w="19050">
              <a:noFill/>
            </a:ln>
          </c:spPr>
          <c:dLbls>
            <c:dLbl>
              <c:idx val="0"/>
              <c:tx>
                <c:rich>
                  <a:bodyPr/>
                  <a:lstStyle/>
                  <a:p>
                    <a:r>
                      <a:rPr lang="de-DE"/>
                      <a:t>Flight 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EB7B-44F5-9043-2A1123D4F25D}"/>
                </c:ext>
              </c:extLst>
            </c:dLbl>
            <c:dLbl>
              <c:idx val="1"/>
              <c:tx>
                <c:rich>
                  <a:bodyPr/>
                  <a:lstStyle/>
                  <a:p>
                    <a:r>
                      <a:rPr lang="de-DE"/>
                      <a:t>Flight 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EB7B-44F5-9043-2A1123D4F25D}"/>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'Resupply Approach'!$F$39:$F$40</c:f>
              <c:numCache>
                <c:formatCode>0.00</c:formatCode>
                <c:ptCount val="2"/>
                <c:pt idx="0">
                  <c:v>1</c:v>
                </c:pt>
                <c:pt idx="1">
                  <c:v>2</c:v>
                </c:pt>
              </c:numCache>
            </c:numRef>
          </c:xVal>
          <c:yVal>
            <c:numRef>
              <c:f>'Resupply Approach'!$E$39:$E$40</c:f>
              <c:numCache>
                <c:formatCode>0.00</c:formatCode>
                <c:ptCount val="2"/>
                <c:pt idx="0">
                  <c:v>0.9626263437</c:v>
                </c:pt>
                <c:pt idx="1">
                  <c:v>1.0373736563</c:v>
                </c:pt>
              </c:numCache>
            </c:numRef>
          </c:yVal>
          <c:smooth val="0"/>
          <c:extLst>
            <c:ext xmlns:c16="http://schemas.microsoft.com/office/drawing/2014/chart" uri="{C3380CC4-5D6E-409C-BE32-E72D297353CC}">
              <c16:uniqueId val="{00000002-EB7B-44F5-9043-2A1123D4F25D}"/>
            </c:ext>
          </c:extLst>
        </c:ser>
        <c:ser>
          <c:idx val="1"/>
          <c:order val="1"/>
          <c:spPr>
            <a:ln w="19050">
              <a:noFill/>
            </a:ln>
          </c:spPr>
          <c:marker>
            <c:symbol val="none"/>
          </c:marker>
          <c:trendline>
            <c:spPr>
              <a:ln w="12700">
                <a:solidFill>
                  <a:srgbClr val="000000"/>
                </a:solidFill>
                <a:prstDash val="lgDash"/>
              </a:ln>
            </c:spPr>
            <c:trendlineType val="linear"/>
            <c:dispRSqr val="0"/>
            <c:dispEq val="0"/>
          </c:trendline>
          <c:xVal>
            <c:numLit>
              <c:formatCode>General</c:formatCode>
              <c:ptCount val="4"/>
              <c:pt idx="0">
                <c:v>0</c:v>
              </c:pt>
              <c:pt idx="1">
                <c:v>1</c:v>
              </c:pt>
              <c:pt idx="2">
                <c:v>2</c:v>
              </c:pt>
              <c:pt idx="3">
                <c:v>3</c:v>
              </c:pt>
            </c:numLit>
          </c:xVal>
          <c:yVal>
            <c:numLit>
              <c:formatCode>General</c:formatCode>
              <c:ptCount val="4"/>
              <c:pt idx="0">
                <c:v>0</c:v>
              </c:pt>
              <c:pt idx="1">
                <c:v>1</c:v>
              </c:pt>
              <c:pt idx="2">
                <c:v>2</c:v>
              </c:pt>
              <c:pt idx="3">
                <c:v>3</c:v>
              </c:pt>
            </c:numLit>
          </c:yVal>
          <c:smooth val="0"/>
          <c:extLst>
            <c:ext xmlns:c16="http://schemas.microsoft.com/office/drawing/2014/chart" uri="{C3380CC4-5D6E-409C-BE32-E72D297353CC}">
              <c16:uniqueId val="{00000003-EB7B-44F5-9043-2A1123D4F25D}"/>
            </c:ext>
          </c:extLst>
        </c:ser>
        <c:dLbls>
          <c:showLegendKey val="0"/>
          <c:showVal val="0"/>
          <c:showCatName val="0"/>
          <c:showSerName val="0"/>
          <c:showPercent val="0"/>
          <c:showBubbleSize val="0"/>
        </c:dLbls>
        <c:axId val="130660480"/>
        <c:axId val="130647520"/>
      </c:scatterChart>
      <c:valAx>
        <c:axId val="130660480"/>
        <c:scaling>
          <c:orientation val="minMax"/>
          <c:max val="3"/>
          <c:min val="0"/>
        </c:scaling>
        <c:delete val="0"/>
        <c:axPos val="b"/>
        <c:title>
          <c:tx>
            <c:rich>
              <a:bodyPr/>
              <a:lstStyle/>
              <a:p>
                <a:pPr>
                  <a:defRPr/>
                </a:pPr>
                <a:r>
                  <a:rPr lang="de-DE"/>
                  <a:t>Number of Missions Served by Flight</a:t>
                </a:r>
              </a:p>
            </c:rich>
          </c:tx>
          <c:overlay val="0"/>
        </c:title>
        <c:numFmt formatCode="0.00" sourceLinked="1"/>
        <c:majorTickMark val="out"/>
        <c:minorTickMark val="none"/>
        <c:tickLblPos val="nextTo"/>
        <c:crossAx val="130647520"/>
        <c:crosses val="autoZero"/>
        <c:crossBetween val="midCat"/>
        <c:majorUnit val="1"/>
      </c:valAx>
      <c:valAx>
        <c:axId val="130647520"/>
        <c:scaling>
          <c:orientation val="minMax"/>
          <c:max val="2.0373736562999998"/>
        </c:scaling>
        <c:delete val="0"/>
        <c:axPos val="l"/>
        <c:majorGridlines/>
        <c:title>
          <c:tx>
            <c:rich>
              <a:bodyPr/>
              <a:lstStyle/>
              <a:p>
                <a:pPr>
                  <a:defRPr/>
                </a:pPr>
                <a:r>
                  <a:rPr lang="de-DE"/>
                  <a:t>Sum of Dependency Factors per Flight</a:t>
                </a:r>
              </a:p>
            </c:rich>
          </c:tx>
          <c:overlay val="0"/>
        </c:title>
        <c:numFmt formatCode="0.0" sourceLinked="0"/>
        <c:majorTickMark val="out"/>
        <c:minorTickMark val="none"/>
        <c:tickLblPos val="nextTo"/>
        <c:crossAx val="130660480"/>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lockText="1" noThreeD="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 Id="rId9"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vmlDrawing3.vml.rels><?xml version="1.0" encoding="UTF-8" standalone="yes"?>
<Relationships xmlns="http://schemas.openxmlformats.org/package/2006/relationships"><Relationship Id="rId8" Type="http://schemas.openxmlformats.org/officeDocument/2006/relationships/image" Target="../media/image10.emf"/><Relationship Id="rId13" Type="http://schemas.openxmlformats.org/officeDocument/2006/relationships/image" Target="../media/image6.emf"/><Relationship Id="rId18" Type="http://schemas.openxmlformats.org/officeDocument/2006/relationships/image" Target="../media/image2.emf"/><Relationship Id="rId3" Type="http://schemas.openxmlformats.org/officeDocument/2006/relationships/image" Target="../media/image15.emf"/><Relationship Id="rId21" Type="http://schemas.openxmlformats.org/officeDocument/2006/relationships/image" Target="../media/image4.emf"/><Relationship Id="rId7" Type="http://schemas.openxmlformats.org/officeDocument/2006/relationships/image" Target="../media/image11.emf"/><Relationship Id="rId12" Type="http://schemas.openxmlformats.org/officeDocument/2006/relationships/image" Target="../media/image7.emf"/><Relationship Id="rId17" Type="http://schemas.openxmlformats.org/officeDocument/2006/relationships/image" Target="../media/image21.emf"/><Relationship Id="rId2" Type="http://schemas.openxmlformats.org/officeDocument/2006/relationships/image" Target="../media/image16.emf"/><Relationship Id="rId16" Type="http://schemas.openxmlformats.org/officeDocument/2006/relationships/image" Target="../media/image20.emf"/><Relationship Id="rId20" Type="http://schemas.openxmlformats.org/officeDocument/2006/relationships/image" Target="../media/image5.emf"/><Relationship Id="rId1" Type="http://schemas.openxmlformats.org/officeDocument/2006/relationships/image" Target="../media/image17.emf"/><Relationship Id="rId6" Type="http://schemas.openxmlformats.org/officeDocument/2006/relationships/image" Target="../media/image12.emf"/><Relationship Id="rId11" Type="http://schemas.openxmlformats.org/officeDocument/2006/relationships/image" Target="../media/image18.emf"/><Relationship Id="rId5" Type="http://schemas.openxmlformats.org/officeDocument/2006/relationships/image" Target="../media/image13.emf"/><Relationship Id="rId15" Type="http://schemas.openxmlformats.org/officeDocument/2006/relationships/image" Target="../media/image19.emf"/><Relationship Id="rId10" Type="http://schemas.openxmlformats.org/officeDocument/2006/relationships/image" Target="../media/image8.emf"/><Relationship Id="rId19" Type="http://schemas.openxmlformats.org/officeDocument/2006/relationships/image" Target="../media/image1.emf"/><Relationship Id="rId4" Type="http://schemas.openxmlformats.org/officeDocument/2006/relationships/image" Target="../media/image14.emf"/><Relationship Id="rId9" Type="http://schemas.openxmlformats.org/officeDocument/2006/relationships/image" Target="../media/image9.emf"/><Relationship Id="rId14" Type="http://schemas.openxmlformats.org/officeDocument/2006/relationships/image" Target="../media/image3.emf"/><Relationship Id="rId22"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xdr:twoCellAnchor>
    <xdr:from>
      <xdr:col>0</xdr:col>
      <xdr:colOff>99060</xdr:colOff>
      <xdr:row>4</xdr:row>
      <xdr:rowOff>15239</xdr:rowOff>
    </xdr:from>
    <xdr:to>
      <xdr:col>9</xdr:col>
      <xdr:colOff>276225</xdr:colOff>
      <xdr:row>5</xdr:row>
      <xdr:rowOff>142874</xdr:rowOff>
    </xdr:to>
    <xdr:sp macro="" textlink="">
      <xdr:nvSpPr>
        <xdr:cNvPr id="2" name="Textfeld 1">
          <a:extLst>
            <a:ext uri="{FF2B5EF4-FFF2-40B4-BE49-F238E27FC236}">
              <a16:creationId xmlns:a16="http://schemas.microsoft.com/office/drawing/2014/main" id="{00000000-0008-0000-0000-000002000000}"/>
            </a:ext>
          </a:extLst>
        </xdr:cNvPr>
        <xdr:cNvSpPr txBox="1"/>
      </xdr:nvSpPr>
      <xdr:spPr>
        <a:xfrm>
          <a:off x="99060" y="932020"/>
          <a:ext cx="7213759" cy="146113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GB" sz="1100" b="1"/>
            <a:t>1. Step:</a:t>
          </a:r>
          <a:r>
            <a:rPr lang="en-GB" sz="1100"/>
            <a:t>	Define your mission outline parameters.</a:t>
          </a:r>
        </a:p>
        <a:p>
          <a:pPr marL="171450" indent="-171450">
            <a:buFont typeface="Arial" panose="020B0604020202020204" pitchFamily="34" charset="0"/>
            <a:buChar char="•"/>
          </a:pPr>
          <a:r>
            <a:rPr lang="en-GB" sz="1100" b="1"/>
            <a:t>2. Step:</a:t>
          </a:r>
          <a:r>
            <a:rPr lang="en-GB" sz="1100"/>
            <a:t>	Adapt the criteria according to which the ECLSS subsystems are assembled</a:t>
          </a:r>
          <a:r>
            <a:rPr lang="en-GB" sz="1100" baseline="0"/>
            <a:t>.</a:t>
          </a:r>
          <a:br>
            <a:rPr lang="en-GB" sz="1100" baseline="0"/>
          </a:br>
          <a:r>
            <a:rPr lang="en-GB" sz="1100" baseline="0"/>
            <a:t>	</a:t>
          </a:r>
          <a:r>
            <a:rPr lang="en-GB" sz="1100"/>
            <a:t>Choose desired assembly function.</a:t>
          </a:r>
        </a:p>
        <a:p>
          <a:pPr marL="171450" indent="-171450">
            <a:buFont typeface="Arial" panose="020B0604020202020204" pitchFamily="34" charset="0"/>
            <a:buChar char="•"/>
          </a:pPr>
          <a:r>
            <a:rPr lang="en-GB" sz="1100" b="1"/>
            <a:t>3. Step:</a:t>
          </a:r>
          <a:r>
            <a:rPr lang="en-GB" sz="1100"/>
            <a:t>	Define</a:t>
          </a:r>
          <a:r>
            <a:rPr lang="en-GB" sz="1100" baseline="0"/>
            <a:t> ESM factors for the ESM Analysis.</a:t>
          </a:r>
        </a:p>
        <a:p>
          <a:pPr marL="171450" indent="-171450">
            <a:buFont typeface="Arial" panose="020B0604020202020204" pitchFamily="34" charset="0"/>
            <a:buChar char="•"/>
          </a:pPr>
          <a:r>
            <a:rPr lang="en-GB" sz="1100" b="1" baseline="0"/>
            <a:t>4. Step:</a:t>
          </a:r>
          <a:r>
            <a:rPr lang="en-GB" sz="1100" baseline="0"/>
            <a:t>	Select additional filter options if desired.</a:t>
          </a:r>
        </a:p>
        <a:p>
          <a:pPr marL="171450" indent="-171450">
            <a:buFont typeface="Arial" panose="020B0604020202020204" pitchFamily="34" charset="0"/>
            <a:buChar char="•"/>
          </a:pPr>
          <a:r>
            <a:rPr lang="en-GB" sz="1100" b="1" baseline="0"/>
            <a:t>5. Step:</a:t>
          </a:r>
          <a:r>
            <a:rPr lang="en-GB" sz="1100" baseline="0"/>
            <a:t>	Execute "Calculate System Properties ".</a:t>
          </a:r>
        </a:p>
        <a:p>
          <a:pPr marL="171450" indent="-171450">
            <a:buFont typeface="Arial" panose="020B0604020202020204" pitchFamily="34" charset="0"/>
            <a:buChar char="•"/>
          </a:pPr>
          <a:r>
            <a:rPr lang="en-GB" sz="1100" b="1" baseline="0"/>
            <a:t>6. Step:</a:t>
          </a:r>
          <a:r>
            <a:rPr lang="en-GB" sz="1100" baseline="0"/>
            <a:t>	Execute "Perform MCA/ESM" Makro".</a:t>
          </a:r>
        </a:p>
        <a:p>
          <a:pPr marL="171450" indent="-171450">
            <a:buFont typeface="Arial" panose="020B0604020202020204" pitchFamily="34" charset="0"/>
            <a:buChar char="•"/>
          </a:pPr>
          <a:r>
            <a:rPr lang="en-GB" sz="1100" baseline="0"/>
            <a:t>Changes to Parameters of individual technologies can be done in the technology sheet! Values there are per 1 human</a:t>
          </a:r>
          <a:br>
            <a:rPr lang="en-GB" sz="1100"/>
          </a:br>
          <a:endParaRPr lang="en-GB" sz="1100"/>
        </a:p>
      </xdr:txBody>
    </xdr:sp>
    <xdr:clientData/>
  </xdr:twoCellAnchor>
  <xdr:twoCellAnchor>
    <xdr:from>
      <xdr:col>2</xdr:col>
      <xdr:colOff>891540</xdr:colOff>
      <xdr:row>22</xdr:row>
      <xdr:rowOff>137160</xdr:rowOff>
    </xdr:from>
    <xdr:to>
      <xdr:col>4</xdr:col>
      <xdr:colOff>487680</xdr:colOff>
      <xdr:row>26</xdr:row>
      <xdr:rowOff>167640</xdr:rowOff>
    </xdr:to>
    <xdr:sp macro="" textlink="">
      <xdr:nvSpPr>
        <xdr:cNvPr id="3" name="Textfeld 2">
          <a:extLst>
            <a:ext uri="{FF2B5EF4-FFF2-40B4-BE49-F238E27FC236}">
              <a16:creationId xmlns:a16="http://schemas.microsoft.com/office/drawing/2014/main" id="{00000000-0008-0000-0000-000003000000}"/>
            </a:ext>
          </a:extLst>
        </xdr:cNvPr>
        <xdr:cNvSpPr txBox="1"/>
      </xdr:nvSpPr>
      <xdr:spPr>
        <a:xfrm>
          <a:off x="2758440" y="5478780"/>
          <a:ext cx="1402080" cy="784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a:t>Exclude Alternatives with partially missing Information from MCA?</a:t>
          </a:r>
        </a:p>
      </xdr:txBody>
    </xdr:sp>
    <xdr:clientData/>
  </xdr:twoCellAnchor>
  <mc:AlternateContent xmlns:mc="http://schemas.openxmlformats.org/markup-compatibility/2006">
    <mc:Choice xmlns:a14="http://schemas.microsoft.com/office/drawing/2010/main" Requires="a14">
      <xdr:twoCellAnchor>
        <xdr:from>
          <xdr:col>12</xdr:col>
          <xdr:colOff>1952625</xdr:colOff>
          <xdr:row>14</xdr:row>
          <xdr:rowOff>28575</xdr:rowOff>
        </xdr:from>
        <xdr:to>
          <xdr:col>12</xdr:col>
          <xdr:colOff>3343275</xdr:colOff>
          <xdr:row>17</xdr:row>
          <xdr:rowOff>47625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Perform MCA/ESM</a:t>
              </a:r>
            </a:p>
          </xdr:txBody>
        </xdr:sp>
        <xdr:clientData fPrintsWithSheet="0"/>
      </xdr:twoCellAnchor>
    </mc:Choice>
    <mc:Fallback/>
  </mc:AlternateContent>
  <xdr:twoCellAnchor>
    <xdr:from>
      <xdr:col>2</xdr:col>
      <xdr:colOff>891540</xdr:colOff>
      <xdr:row>29</xdr:row>
      <xdr:rowOff>160020</xdr:rowOff>
    </xdr:from>
    <xdr:to>
      <xdr:col>4</xdr:col>
      <xdr:colOff>518160</xdr:colOff>
      <xdr:row>32</xdr:row>
      <xdr:rowOff>114300</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2758440" y="6736080"/>
          <a:ext cx="1432560" cy="502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Reliability Calculation Approach</a:t>
          </a:r>
        </a:p>
      </xdr:txBody>
    </xdr:sp>
    <xdr:clientData/>
  </xdr:twoCellAnchor>
  <mc:AlternateContent xmlns:mc="http://schemas.openxmlformats.org/markup-compatibility/2006">
    <mc:Choice xmlns:a14="http://schemas.microsoft.com/office/drawing/2010/main" Requires="a14">
      <xdr:twoCellAnchor>
        <xdr:from>
          <xdr:col>12</xdr:col>
          <xdr:colOff>28575</xdr:colOff>
          <xdr:row>14</xdr:row>
          <xdr:rowOff>28575</xdr:rowOff>
        </xdr:from>
        <xdr:to>
          <xdr:col>12</xdr:col>
          <xdr:colOff>1790700</xdr:colOff>
          <xdr:row>17</xdr:row>
          <xdr:rowOff>47625</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Calculate System Properties</a:t>
              </a:r>
            </a:p>
          </xdr:txBody>
        </xdr:sp>
        <xdr:clientData fPrintsWithSheet="0"/>
      </xdr:twoCellAnchor>
    </mc:Choice>
    <mc:Fallback/>
  </mc:AlternateContent>
  <xdr:twoCellAnchor>
    <xdr:from>
      <xdr:col>6</xdr:col>
      <xdr:colOff>182880</xdr:colOff>
      <xdr:row>29</xdr:row>
      <xdr:rowOff>160020</xdr:rowOff>
    </xdr:from>
    <xdr:to>
      <xdr:col>8</xdr:col>
      <xdr:colOff>19050</xdr:colOff>
      <xdr:row>31</xdr:row>
      <xdr:rowOff>53340</xdr:rowOff>
    </xdr:to>
    <xdr:sp macro="" textlink="">
      <xdr:nvSpPr>
        <xdr:cNvPr id="9" name="Textfeld 8">
          <a:extLst>
            <a:ext uri="{FF2B5EF4-FFF2-40B4-BE49-F238E27FC236}">
              <a16:creationId xmlns:a16="http://schemas.microsoft.com/office/drawing/2014/main" id="{00000000-0008-0000-0000-000009000000}"/>
            </a:ext>
          </a:extLst>
        </xdr:cNvPr>
        <xdr:cNvSpPr txBox="1"/>
      </xdr:nvSpPr>
      <xdr:spPr>
        <a:xfrm>
          <a:off x="5307330" y="7341870"/>
          <a:ext cx="124587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Number of ORUs:</a:t>
          </a:r>
        </a:p>
      </xdr:txBody>
    </xdr:sp>
    <xdr:clientData/>
  </xdr:twoCellAnchor>
  <xdr:twoCellAnchor>
    <xdr:from>
      <xdr:col>6</xdr:col>
      <xdr:colOff>220980</xdr:colOff>
      <xdr:row>20</xdr:row>
      <xdr:rowOff>167640</xdr:rowOff>
    </xdr:from>
    <xdr:to>
      <xdr:col>7</xdr:col>
      <xdr:colOff>381000</xdr:colOff>
      <xdr:row>23</xdr:row>
      <xdr:rowOff>9525</xdr:rowOff>
    </xdr:to>
    <xdr:sp macro="" textlink="">
      <xdr:nvSpPr>
        <xdr:cNvPr id="10" name="Textfeld 9">
          <a:extLst>
            <a:ext uri="{FF2B5EF4-FFF2-40B4-BE49-F238E27FC236}">
              <a16:creationId xmlns:a16="http://schemas.microsoft.com/office/drawing/2014/main" id="{00000000-0008-0000-0000-00000A000000}"/>
            </a:ext>
          </a:extLst>
        </xdr:cNvPr>
        <xdr:cNvSpPr txBox="1"/>
      </xdr:nvSpPr>
      <xdr:spPr>
        <a:xfrm>
          <a:off x="5345430" y="5596890"/>
          <a:ext cx="1055370" cy="4229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Mass Margin:</a:t>
          </a:r>
        </a:p>
      </xdr:txBody>
    </xdr:sp>
    <xdr:clientData/>
  </xdr:twoCellAnchor>
  <mc:AlternateContent xmlns:mc="http://schemas.openxmlformats.org/markup-compatibility/2006">
    <mc:Choice xmlns:a14="http://schemas.microsoft.com/office/drawing/2010/main" Requires="a14">
      <xdr:twoCellAnchor>
        <xdr:from>
          <xdr:col>12</xdr:col>
          <xdr:colOff>0</xdr:colOff>
          <xdr:row>0</xdr:row>
          <xdr:rowOff>152400</xdr:rowOff>
        </xdr:from>
        <xdr:to>
          <xdr:col>12</xdr:col>
          <xdr:colOff>1724025</xdr:colOff>
          <xdr:row>2</xdr:row>
          <xdr:rowOff>114300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User's Guide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3057525</xdr:colOff>
          <xdr:row>2</xdr:row>
          <xdr:rowOff>409575</xdr:rowOff>
        </xdr:from>
        <xdr:to>
          <xdr:col>0</xdr:col>
          <xdr:colOff>5124450</xdr:colOff>
          <xdr:row>2</xdr:row>
          <xdr:rowOff>600075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Sort by MCA Rank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3057525</xdr:colOff>
          <xdr:row>1</xdr:row>
          <xdr:rowOff>85725</xdr:rowOff>
        </xdr:from>
        <xdr:to>
          <xdr:col>0</xdr:col>
          <xdr:colOff>5124450</xdr:colOff>
          <xdr:row>2</xdr:row>
          <xdr:rowOff>104775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Perform Sensitivity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3057525</xdr:colOff>
          <xdr:row>0</xdr:row>
          <xdr:rowOff>38100</xdr:rowOff>
        </xdr:from>
        <xdr:to>
          <xdr:col>0</xdr:col>
          <xdr:colOff>5124450</xdr:colOff>
          <xdr:row>1</xdr:row>
          <xdr:rowOff>38100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90000" tIns="36000" rIns="90000" bIns="46800" anchor="ctr" upright="1"/>
            <a:lstStyle/>
            <a:p>
              <a:pPr algn="ctr" rtl="0">
                <a:defRPr sz="1000"/>
              </a:pPr>
              <a:r>
                <a:rPr lang="it-IT" sz="1100" b="0" i="0" u="none" strike="noStrike" baseline="0">
                  <a:solidFill>
                    <a:srgbClr val="000000"/>
                  </a:solidFill>
                  <a:latin typeface="Calibri"/>
                  <a:cs typeface="Calibri"/>
                </a:rPr>
                <a:t>Set Values back to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3057525</xdr:colOff>
          <xdr:row>2</xdr:row>
          <xdr:rowOff>161925</xdr:rowOff>
        </xdr:from>
        <xdr:to>
          <xdr:col>0</xdr:col>
          <xdr:colOff>5124450</xdr:colOff>
          <xdr:row>2</xdr:row>
          <xdr:rowOff>352425</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Sort by ESM w/o 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3057525</xdr:colOff>
          <xdr:row>2</xdr:row>
          <xdr:rowOff>657225</xdr:rowOff>
        </xdr:from>
        <xdr:to>
          <xdr:col>0</xdr:col>
          <xdr:colOff>5124450</xdr:colOff>
          <xdr:row>2</xdr:row>
          <xdr:rowOff>857250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Sort by ESM Rank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3057525</xdr:colOff>
          <xdr:row>2</xdr:row>
          <xdr:rowOff>904875</xdr:rowOff>
        </xdr:from>
        <xdr:to>
          <xdr:col>0</xdr:col>
          <xdr:colOff>5124450</xdr:colOff>
          <xdr:row>2</xdr:row>
          <xdr:rowOff>1104900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200-000008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Exclude Alternative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619125</xdr:rowOff>
        </xdr:from>
        <xdr:to>
          <xdr:col>0</xdr:col>
          <xdr:colOff>2438400</xdr:colOff>
          <xdr:row>2</xdr:row>
          <xdr:rowOff>1104900</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200-000009100000}"/>
                </a:ext>
              </a:extLst>
            </xdr:cNvPr>
            <xdr:cNvSpPr/>
          </xdr:nvSpPr>
          <xdr:spPr bwMode="auto">
            <a:xfrm>
              <a:off x="0" y="0"/>
              <a:ext cx="0" cy="0"/>
            </a:xfrm>
            <a:prstGeom prst="rect">
              <a:avLst/>
            </a:prstGeom>
            <a:noFill/>
            <a:ln w="9525">
              <a:miter lim="800000"/>
              <a:headEnd/>
              <a:tailEnd/>
            </a:ln>
          </xdr:spPr>
          <xdr:txBody>
            <a:bodyPr vertOverflow="clip" wrap="square" lIns="90000" tIns="36000" rIns="90000" bIns="46800" anchor="ctr" upright="1"/>
            <a:lstStyle/>
            <a:p>
              <a:pPr algn="ctr" rtl="0">
                <a:defRPr sz="1000"/>
              </a:pPr>
              <a:r>
                <a:rPr lang="it-IT" sz="1100" b="0" i="0" u="none" strike="noStrike" baseline="0">
                  <a:solidFill>
                    <a:srgbClr val="000000"/>
                  </a:solidFill>
                  <a:latin typeface="Calibri"/>
                  <a:cs typeface="Calibri"/>
                </a:rPr>
                <a:t>Check Attribute Criticality</a:t>
              </a:r>
            </a:p>
            <a:p>
              <a:pPr algn="ctr" rtl="0">
                <a:defRPr sz="1000"/>
              </a:pPr>
              <a:r>
                <a:rPr lang="it-IT" sz="1100" b="0" i="0" u="none" strike="noStrike" baseline="0">
                  <a:solidFill>
                    <a:srgbClr val="000000"/>
                  </a:solidFill>
                  <a:latin typeface="Calibri"/>
                  <a:cs typeface="Calibri"/>
                </a:rPr>
                <a:t>(Long Calculation)</a:t>
              </a:r>
            </a:p>
          </xdr:txBody>
        </xdr:sp>
        <xdr:clientData fPrintsWithSheet="0"/>
      </xdr:twoCellAnchor>
    </mc:Choice>
    <mc:Fallback/>
  </mc:AlternateContent>
  <xdr:twoCellAnchor editAs="absolute">
    <xdr:from>
      <xdr:col>0</xdr:col>
      <xdr:colOff>4886325</xdr:colOff>
      <xdr:row>20</xdr:row>
      <xdr:rowOff>9525</xdr:rowOff>
    </xdr:from>
    <xdr:to>
      <xdr:col>8</xdr:col>
      <xdr:colOff>533400</xdr:colOff>
      <xdr:row>42</xdr:row>
      <xdr:rowOff>9525</xdr:rowOff>
    </xdr:to>
    <xdr:graphicFrame macro="">
      <xdr:nvGraphicFramePr>
        <xdr:cNvPr id="9" name="Relative Attribute Criticality">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0.03036</cdr:x>
      <cdr:y>0.83864</cdr:y>
    </cdr:from>
    <cdr:to>
      <cdr:x>0.99464</cdr:x>
      <cdr:y>0.99771</cdr:y>
    </cdr:to>
    <cdr:sp macro="" textlink="">
      <cdr:nvSpPr>
        <cdr:cNvPr id="2" name="Textfeld 1">
          <a:extLst xmlns:a="http://schemas.openxmlformats.org/drawingml/2006/main">
            <a:ext uri="{FF2B5EF4-FFF2-40B4-BE49-F238E27FC236}">
              <a16:creationId xmlns:a16="http://schemas.microsoft.com/office/drawing/2014/main" id="{D473CD6B-6EDD-4974-812A-8D9655E114C4}"/>
            </a:ext>
          </a:extLst>
        </cdr:cNvPr>
        <cdr:cNvSpPr txBox="1"/>
      </cdr:nvSpPr>
      <cdr:spPr>
        <a:xfrm xmlns:a="http://schemas.openxmlformats.org/drawingml/2006/main">
          <a:off x="161925" y="3514726"/>
          <a:ext cx="5143500" cy="66666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a:t>It is worth noting that the smaller the relative change of an attribute, the more critical this attribute is within the analysis! Values with 0 are ones where no change occured over the maximum number of iterations!</a:t>
          </a:r>
        </a:p>
      </cdr:txBody>
    </cdr:sp>
  </cdr:relSizeAnchor>
</c:userShapes>
</file>

<file path=xl/drawings/drawing4.xml><?xml version="1.0" encoding="utf-8"?>
<xdr:wsDr xmlns:xdr="http://schemas.openxmlformats.org/drawingml/2006/spreadsheetDrawing" xmlns:a="http://schemas.openxmlformats.org/drawingml/2006/main">
  <xdr:twoCellAnchor>
    <xdr:from>
      <xdr:col>4</xdr:col>
      <xdr:colOff>162088</xdr:colOff>
      <xdr:row>17</xdr:row>
      <xdr:rowOff>179294</xdr:rowOff>
    </xdr:from>
    <xdr:to>
      <xdr:col>22</xdr:col>
      <xdr:colOff>358588</xdr:colOff>
      <xdr:row>32</xdr:row>
      <xdr:rowOff>38660</xdr:rowOff>
    </xdr:to>
    <xdr:cxnSp macro="">
      <xdr:nvCxnSpPr>
        <xdr:cNvPr id="5" name="H2O_InediblePlantsToFiltration" hidden="1">
          <a:extLst>
            <a:ext uri="{FF2B5EF4-FFF2-40B4-BE49-F238E27FC236}">
              <a16:creationId xmlns:a16="http://schemas.microsoft.com/office/drawing/2014/main" id="{00000000-0008-0000-0500-000005000000}"/>
            </a:ext>
          </a:extLst>
        </xdr:cNvPr>
        <xdr:cNvCxnSpPr>
          <a:stCxn id="112" idx="2"/>
        </xdr:cNvCxnSpPr>
      </xdr:nvCxnSpPr>
      <xdr:spPr>
        <a:xfrm rot="16200000" flipH="1">
          <a:off x="4020005" y="1121977"/>
          <a:ext cx="2716866" cy="7283100"/>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213700</xdr:colOff>
      <xdr:row>7</xdr:row>
      <xdr:rowOff>0</xdr:rowOff>
    </xdr:from>
    <xdr:to>
      <xdr:col>27</xdr:col>
      <xdr:colOff>0</xdr:colOff>
      <xdr:row>7</xdr:row>
      <xdr:rowOff>182242</xdr:rowOff>
    </xdr:to>
    <xdr:sp macro="" textlink="">
      <xdr:nvSpPr>
        <xdr:cNvPr id="3" name="C_WW_hout">
          <a:extLst>
            <a:ext uri="{FF2B5EF4-FFF2-40B4-BE49-F238E27FC236}">
              <a16:creationId xmlns:a16="http://schemas.microsoft.com/office/drawing/2014/main" id="{00000000-0008-0000-0500-000003000000}"/>
            </a:ext>
          </a:extLst>
        </xdr:cNvPr>
        <xdr:cNvSpPr>
          <a:spLocks/>
        </xdr:cNvSpPr>
      </xdr:nvSpPr>
      <xdr:spPr>
        <a:xfrm>
          <a:off x="10449900" y="1320800"/>
          <a:ext cx="180000" cy="182242"/>
        </a:xfrm>
        <a:prstGeom prst="ellipse">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18</xdr:col>
      <xdr:colOff>0</xdr:colOff>
      <xdr:row>30</xdr:row>
      <xdr:rowOff>0</xdr:rowOff>
    </xdr:from>
    <xdr:to>
      <xdr:col>23</xdr:col>
      <xdr:colOff>700</xdr:colOff>
      <xdr:row>33</xdr:row>
      <xdr:rowOff>900</xdr:rowOff>
    </xdr:to>
    <xdr:sp macro="" textlink="">
      <xdr:nvSpPr>
        <xdr:cNvPr id="8206" name="WWFiltration">
          <a:extLst>
            <a:ext uri="{FF2B5EF4-FFF2-40B4-BE49-F238E27FC236}">
              <a16:creationId xmlns:a16="http://schemas.microsoft.com/office/drawing/2014/main" id="{00000000-0008-0000-0500-00000E200000}"/>
            </a:ext>
          </a:extLst>
        </xdr:cNvPr>
        <xdr:cNvSpPr txBox="1"/>
      </xdr:nvSpPr>
      <xdr:spPr>
        <a:xfrm>
          <a:off x="7086600" y="57023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WW Filtration</a:t>
          </a:r>
        </a:p>
      </xdr:txBody>
    </xdr:sp>
    <xdr:clientData/>
  </xdr:twoCellAnchor>
  <xdr:twoCellAnchor editAs="oneCell">
    <xdr:from>
      <xdr:col>9</xdr:col>
      <xdr:colOff>380673</xdr:colOff>
      <xdr:row>30</xdr:row>
      <xdr:rowOff>0</xdr:rowOff>
    </xdr:from>
    <xdr:to>
      <xdr:col>14</xdr:col>
      <xdr:colOff>381373</xdr:colOff>
      <xdr:row>33</xdr:row>
      <xdr:rowOff>900</xdr:rowOff>
    </xdr:to>
    <xdr:sp macro="" textlink="">
      <xdr:nvSpPr>
        <xdr:cNvPr id="52" name="UrineProcessing">
          <a:extLst>
            <a:ext uri="{FF2B5EF4-FFF2-40B4-BE49-F238E27FC236}">
              <a16:creationId xmlns:a16="http://schemas.microsoft.com/office/drawing/2014/main" id="{00000000-0008-0000-0500-000034000000}"/>
            </a:ext>
          </a:extLst>
        </xdr:cNvPr>
        <xdr:cNvSpPr txBox="1"/>
      </xdr:nvSpPr>
      <xdr:spPr>
        <a:xfrm>
          <a:off x="3923973" y="57023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Urine</a:t>
          </a:r>
          <a:r>
            <a:rPr lang="en-GB" sz="1100" baseline="0"/>
            <a:t> Processing</a:t>
          </a:r>
          <a:endParaRPr lang="en-GB" sz="1100"/>
        </a:p>
      </xdr:txBody>
    </xdr:sp>
    <xdr:clientData/>
  </xdr:twoCellAnchor>
  <xdr:twoCellAnchor editAs="oneCell">
    <xdr:from>
      <xdr:col>18</xdr:col>
      <xdr:colOff>0</xdr:colOff>
      <xdr:row>11</xdr:row>
      <xdr:rowOff>178679</xdr:rowOff>
    </xdr:from>
    <xdr:to>
      <xdr:col>23</xdr:col>
      <xdr:colOff>700</xdr:colOff>
      <xdr:row>14</xdr:row>
      <xdr:rowOff>179579</xdr:rowOff>
    </xdr:to>
    <xdr:sp macro="" textlink="">
      <xdr:nvSpPr>
        <xdr:cNvPr id="67" name="O2Storage">
          <a:extLst>
            <a:ext uri="{FF2B5EF4-FFF2-40B4-BE49-F238E27FC236}">
              <a16:creationId xmlns:a16="http://schemas.microsoft.com/office/drawing/2014/main" id="{00000000-0008-0000-0500-000043000000}"/>
            </a:ext>
          </a:extLst>
        </xdr:cNvPr>
        <xdr:cNvSpPr txBox="1"/>
      </xdr:nvSpPr>
      <xdr:spPr>
        <a:xfrm>
          <a:off x="7086600" y="2261479"/>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O</a:t>
          </a:r>
          <a:r>
            <a:rPr lang="en-GB" sz="1100" baseline="-25000"/>
            <a:t>2</a:t>
          </a:r>
          <a:r>
            <a:rPr lang="en-GB" sz="1100" baseline="0"/>
            <a:t> Storage</a:t>
          </a:r>
          <a:endParaRPr lang="en-GB" sz="1100"/>
        </a:p>
      </xdr:txBody>
    </xdr:sp>
    <xdr:clientData/>
  </xdr:twoCellAnchor>
  <xdr:twoCellAnchor editAs="oneCell">
    <xdr:from>
      <xdr:col>24</xdr:col>
      <xdr:colOff>84838</xdr:colOff>
      <xdr:row>17</xdr:row>
      <xdr:rowOff>177656</xdr:rowOff>
    </xdr:from>
    <xdr:to>
      <xdr:col>29</xdr:col>
      <xdr:colOff>85538</xdr:colOff>
      <xdr:row>20</xdr:row>
      <xdr:rowOff>178556</xdr:rowOff>
    </xdr:to>
    <xdr:sp macro="" textlink="">
      <xdr:nvSpPr>
        <xdr:cNvPr id="72" name="H2Storage">
          <a:extLst>
            <a:ext uri="{FF2B5EF4-FFF2-40B4-BE49-F238E27FC236}">
              <a16:creationId xmlns:a16="http://schemas.microsoft.com/office/drawing/2014/main" id="{00000000-0008-0000-0500-000048000000}"/>
            </a:ext>
          </a:extLst>
        </xdr:cNvPr>
        <xdr:cNvSpPr txBox="1"/>
      </xdr:nvSpPr>
      <xdr:spPr>
        <a:xfrm>
          <a:off x="9533638" y="3403456"/>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H</a:t>
          </a:r>
          <a:r>
            <a:rPr lang="en-GB" sz="1100" baseline="-25000"/>
            <a:t>2</a:t>
          </a:r>
          <a:r>
            <a:rPr lang="en-GB" sz="1100"/>
            <a:t> Storage</a:t>
          </a:r>
        </a:p>
      </xdr:txBody>
    </xdr:sp>
    <xdr:clientData/>
  </xdr:twoCellAnchor>
  <xdr:twoCellAnchor editAs="oneCell">
    <xdr:from>
      <xdr:col>18</xdr:col>
      <xdr:colOff>0</xdr:colOff>
      <xdr:row>17</xdr:row>
      <xdr:rowOff>177656</xdr:rowOff>
    </xdr:from>
    <xdr:to>
      <xdr:col>23</xdr:col>
      <xdr:colOff>700</xdr:colOff>
      <xdr:row>20</xdr:row>
      <xdr:rowOff>178556</xdr:rowOff>
    </xdr:to>
    <xdr:sp macro="" textlink="">
      <xdr:nvSpPr>
        <xdr:cNvPr id="73" name="Electrolysis">
          <a:extLst>
            <a:ext uri="{FF2B5EF4-FFF2-40B4-BE49-F238E27FC236}">
              <a16:creationId xmlns:a16="http://schemas.microsoft.com/office/drawing/2014/main" id="{00000000-0008-0000-0500-000049000000}"/>
            </a:ext>
          </a:extLst>
        </xdr:cNvPr>
        <xdr:cNvSpPr txBox="1"/>
      </xdr:nvSpPr>
      <xdr:spPr>
        <a:xfrm>
          <a:off x="7086600" y="3403456"/>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Electrolysis</a:t>
          </a:r>
        </a:p>
      </xdr:txBody>
    </xdr:sp>
    <xdr:clientData/>
  </xdr:twoCellAnchor>
  <xdr:twoCellAnchor editAs="oneCell">
    <xdr:from>
      <xdr:col>12</xdr:col>
      <xdr:colOff>192709</xdr:colOff>
      <xdr:row>20</xdr:row>
      <xdr:rowOff>178679</xdr:rowOff>
    </xdr:from>
    <xdr:to>
      <xdr:col>12</xdr:col>
      <xdr:colOff>195379</xdr:colOff>
      <xdr:row>24</xdr:row>
      <xdr:rowOff>0</xdr:rowOff>
    </xdr:to>
    <xdr:cxnSp macro="">
      <xdr:nvCxnSpPr>
        <xdr:cNvPr id="75" name="CO2_ProdCrew">
          <a:extLst>
            <a:ext uri="{FF2B5EF4-FFF2-40B4-BE49-F238E27FC236}">
              <a16:creationId xmlns:a16="http://schemas.microsoft.com/office/drawing/2014/main" id="{00000000-0008-0000-0500-00004B000000}"/>
            </a:ext>
          </a:extLst>
        </xdr:cNvPr>
        <xdr:cNvCxnSpPr>
          <a:cxnSpLocks/>
          <a:stCxn id="503" idx="3"/>
          <a:endCxn id="225" idx="5"/>
        </xdr:cNvCxnSpPr>
      </xdr:nvCxnSpPr>
      <xdr:spPr>
        <a:xfrm flipV="1">
          <a:off x="4917109" y="3975979"/>
          <a:ext cx="2670" cy="583321"/>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0</xdr:colOff>
      <xdr:row>24</xdr:row>
      <xdr:rowOff>0</xdr:rowOff>
    </xdr:from>
    <xdr:to>
      <xdr:col>7</xdr:col>
      <xdr:colOff>0</xdr:colOff>
      <xdr:row>27</xdr:row>
      <xdr:rowOff>0</xdr:rowOff>
    </xdr:to>
    <xdr:sp macro="" textlink="">
      <xdr:nvSpPr>
        <xdr:cNvPr id="611" name="Food">
          <a:extLst>
            <a:ext uri="{FF2B5EF4-FFF2-40B4-BE49-F238E27FC236}">
              <a16:creationId xmlns:a16="http://schemas.microsoft.com/office/drawing/2014/main" id="{00000000-0008-0000-0500-000063020000}"/>
            </a:ext>
          </a:extLst>
        </xdr:cNvPr>
        <xdr:cNvSpPr txBox="1"/>
      </xdr:nvSpPr>
      <xdr:spPr>
        <a:xfrm>
          <a:off x="381000" y="4000500"/>
          <a:ext cx="762000" cy="5715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Food</a:t>
          </a:r>
        </a:p>
      </xdr:txBody>
    </xdr:sp>
    <xdr:clientData/>
  </xdr:twoCellAnchor>
  <xdr:twoCellAnchor editAs="oneCell">
    <xdr:from>
      <xdr:col>9</xdr:col>
      <xdr:colOff>380673</xdr:colOff>
      <xdr:row>11</xdr:row>
      <xdr:rowOff>178679</xdr:rowOff>
    </xdr:from>
    <xdr:to>
      <xdr:col>15</xdr:col>
      <xdr:colOff>157</xdr:colOff>
      <xdr:row>20</xdr:row>
      <xdr:rowOff>178679</xdr:rowOff>
    </xdr:to>
    <xdr:sp macro="" textlink="">
      <xdr:nvSpPr>
        <xdr:cNvPr id="225" name="Cabin">
          <a:extLst>
            <a:ext uri="{FF2B5EF4-FFF2-40B4-BE49-F238E27FC236}">
              <a16:creationId xmlns:a16="http://schemas.microsoft.com/office/drawing/2014/main" id="{00000000-0008-0000-0500-0000E1000000}"/>
            </a:ext>
          </a:extLst>
        </xdr:cNvPr>
        <xdr:cNvSpPr txBox="1"/>
      </xdr:nvSpPr>
      <xdr:spPr>
        <a:xfrm>
          <a:off x="3923973" y="2261479"/>
          <a:ext cx="1981684" cy="1714500"/>
        </a:xfrm>
        <a:custGeom>
          <a:avLst/>
          <a:gdLst>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190500 h 1714500"/>
            <a:gd name="connsiteX5" fmla="*/ 0 w 1905000"/>
            <a:gd name="connsiteY5"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384402 h 1714500"/>
            <a:gd name="connsiteX5" fmla="*/ 0 w 1905000"/>
            <a:gd name="connsiteY5" fmla="*/ 190500 h 1714500"/>
            <a:gd name="connsiteX6" fmla="*/ 0 w 1905000"/>
            <a:gd name="connsiteY6"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564696 h 1714500"/>
            <a:gd name="connsiteX5" fmla="*/ 0 w 1905000"/>
            <a:gd name="connsiteY5" fmla="*/ 384402 h 1714500"/>
            <a:gd name="connsiteX6" fmla="*/ 0 w 1905000"/>
            <a:gd name="connsiteY6" fmla="*/ 190500 h 1714500"/>
            <a:gd name="connsiteX7" fmla="*/ 0 w 1905000"/>
            <a:gd name="connsiteY7"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0 w 1908402"/>
            <a:gd name="connsiteY4" fmla="*/ 765402 h 1714500"/>
            <a:gd name="connsiteX5" fmla="*/ 3402 w 1908402"/>
            <a:gd name="connsiteY5" fmla="*/ 564696 h 1714500"/>
            <a:gd name="connsiteX6" fmla="*/ 3402 w 1908402"/>
            <a:gd name="connsiteY6" fmla="*/ 384402 h 1714500"/>
            <a:gd name="connsiteX7" fmla="*/ 3402 w 1908402"/>
            <a:gd name="connsiteY7" fmla="*/ 190500 h 1714500"/>
            <a:gd name="connsiteX8" fmla="*/ 3402 w 1908402"/>
            <a:gd name="connsiteY8"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955902 h 1714500"/>
            <a:gd name="connsiteX5" fmla="*/ 0 w 1908402"/>
            <a:gd name="connsiteY5" fmla="*/ 765402 h 1714500"/>
            <a:gd name="connsiteX6" fmla="*/ 3402 w 1908402"/>
            <a:gd name="connsiteY6" fmla="*/ 564696 h 1714500"/>
            <a:gd name="connsiteX7" fmla="*/ 3402 w 1908402"/>
            <a:gd name="connsiteY7" fmla="*/ 384402 h 1714500"/>
            <a:gd name="connsiteX8" fmla="*/ 3402 w 1908402"/>
            <a:gd name="connsiteY8" fmla="*/ 190500 h 1714500"/>
            <a:gd name="connsiteX9" fmla="*/ 3402 w 1908402"/>
            <a:gd name="connsiteY9"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1146402 h 1714500"/>
            <a:gd name="connsiteX5" fmla="*/ 3402 w 1908402"/>
            <a:gd name="connsiteY5" fmla="*/ 955902 h 1714500"/>
            <a:gd name="connsiteX6" fmla="*/ 0 w 1908402"/>
            <a:gd name="connsiteY6" fmla="*/ 765402 h 1714500"/>
            <a:gd name="connsiteX7" fmla="*/ 3402 w 1908402"/>
            <a:gd name="connsiteY7" fmla="*/ 564696 h 1714500"/>
            <a:gd name="connsiteX8" fmla="*/ 3402 w 1908402"/>
            <a:gd name="connsiteY8" fmla="*/ 384402 h 1714500"/>
            <a:gd name="connsiteX9" fmla="*/ 3402 w 1908402"/>
            <a:gd name="connsiteY9" fmla="*/ 190500 h 1714500"/>
            <a:gd name="connsiteX10" fmla="*/ 3402 w 1908402"/>
            <a:gd name="connsiteY10"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1146402 h 1714500"/>
            <a:gd name="connsiteX5" fmla="*/ 3402 w 1908402"/>
            <a:gd name="connsiteY5" fmla="*/ 1330098 h 1714500"/>
            <a:gd name="connsiteX6" fmla="*/ 3402 w 1908402"/>
            <a:gd name="connsiteY6" fmla="*/ 955902 h 1714500"/>
            <a:gd name="connsiteX7" fmla="*/ 0 w 1908402"/>
            <a:gd name="connsiteY7" fmla="*/ 765402 h 1714500"/>
            <a:gd name="connsiteX8" fmla="*/ 3402 w 1908402"/>
            <a:gd name="connsiteY8" fmla="*/ 564696 h 1714500"/>
            <a:gd name="connsiteX9" fmla="*/ 3402 w 1908402"/>
            <a:gd name="connsiteY9" fmla="*/ 384402 h 1714500"/>
            <a:gd name="connsiteX10" fmla="*/ 3402 w 1908402"/>
            <a:gd name="connsiteY10" fmla="*/ 190500 h 1714500"/>
            <a:gd name="connsiteX11" fmla="*/ 3402 w 1908402"/>
            <a:gd name="connsiteY11"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1517196 h 1714500"/>
            <a:gd name="connsiteX5" fmla="*/ 3402 w 1908402"/>
            <a:gd name="connsiteY5" fmla="*/ 1146402 h 1714500"/>
            <a:gd name="connsiteX6" fmla="*/ 3402 w 1908402"/>
            <a:gd name="connsiteY6" fmla="*/ 1330098 h 1714500"/>
            <a:gd name="connsiteX7" fmla="*/ 3402 w 1908402"/>
            <a:gd name="connsiteY7" fmla="*/ 955902 h 1714500"/>
            <a:gd name="connsiteX8" fmla="*/ 0 w 1908402"/>
            <a:gd name="connsiteY8" fmla="*/ 765402 h 1714500"/>
            <a:gd name="connsiteX9" fmla="*/ 3402 w 1908402"/>
            <a:gd name="connsiteY9" fmla="*/ 564696 h 1714500"/>
            <a:gd name="connsiteX10" fmla="*/ 3402 w 1908402"/>
            <a:gd name="connsiteY10" fmla="*/ 384402 h 1714500"/>
            <a:gd name="connsiteX11" fmla="*/ 3402 w 1908402"/>
            <a:gd name="connsiteY11" fmla="*/ 190500 h 1714500"/>
            <a:gd name="connsiteX12" fmla="*/ 3402 w 1908402"/>
            <a:gd name="connsiteY12"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1517196 h 1714500"/>
            <a:gd name="connsiteX5" fmla="*/ 0 w 1905000"/>
            <a:gd name="connsiteY5" fmla="*/ 1146402 h 1714500"/>
            <a:gd name="connsiteX6" fmla="*/ 0 w 1905000"/>
            <a:gd name="connsiteY6" fmla="*/ 1330098 h 1714500"/>
            <a:gd name="connsiteX7" fmla="*/ 0 w 1905000"/>
            <a:gd name="connsiteY7" fmla="*/ 955902 h 1714500"/>
            <a:gd name="connsiteX8" fmla="*/ 6803 w 1905000"/>
            <a:gd name="connsiteY8" fmla="*/ 768804 h 1714500"/>
            <a:gd name="connsiteX9" fmla="*/ 0 w 1905000"/>
            <a:gd name="connsiteY9" fmla="*/ 564696 h 1714500"/>
            <a:gd name="connsiteX10" fmla="*/ 0 w 1905000"/>
            <a:gd name="connsiteY10" fmla="*/ 384402 h 1714500"/>
            <a:gd name="connsiteX11" fmla="*/ 0 w 1905000"/>
            <a:gd name="connsiteY11" fmla="*/ 190500 h 1714500"/>
            <a:gd name="connsiteX12" fmla="*/ 0 w 1905000"/>
            <a:gd name="connsiteY12" fmla="*/ 0 h 1714500"/>
            <a:gd name="connsiteX0" fmla="*/ 1 w 1905001"/>
            <a:gd name="connsiteY0" fmla="*/ 0 h 1714500"/>
            <a:gd name="connsiteX1" fmla="*/ 1905001 w 1905001"/>
            <a:gd name="connsiteY1" fmla="*/ 0 h 1714500"/>
            <a:gd name="connsiteX2" fmla="*/ 1905001 w 1905001"/>
            <a:gd name="connsiteY2" fmla="*/ 1714500 h 1714500"/>
            <a:gd name="connsiteX3" fmla="*/ 1 w 1905001"/>
            <a:gd name="connsiteY3" fmla="*/ 1714500 h 1714500"/>
            <a:gd name="connsiteX4" fmla="*/ 1 w 1905001"/>
            <a:gd name="connsiteY4" fmla="*/ 1517196 h 1714500"/>
            <a:gd name="connsiteX5" fmla="*/ 1 w 1905001"/>
            <a:gd name="connsiteY5" fmla="*/ 1146402 h 1714500"/>
            <a:gd name="connsiteX6" fmla="*/ 1 w 1905001"/>
            <a:gd name="connsiteY6" fmla="*/ 1330098 h 1714500"/>
            <a:gd name="connsiteX7" fmla="*/ 1 w 1905001"/>
            <a:gd name="connsiteY7" fmla="*/ 955902 h 1714500"/>
            <a:gd name="connsiteX8" fmla="*/ 0 w 1905001"/>
            <a:gd name="connsiteY8" fmla="*/ 768804 h 1714500"/>
            <a:gd name="connsiteX9" fmla="*/ 1 w 1905001"/>
            <a:gd name="connsiteY9" fmla="*/ 564696 h 1714500"/>
            <a:gd name="connsiteX10" fmla="*/ 1 w 1905001"/>
            <a:gd name="connsiteY10" fmla="*/ 384402 h 1714500"/>
            <a:gd name="connsiteX11" fmla="*/ 1 w 1905001"/>
            <a:gd name="connsiteY11" fmla="*/ 190500 h 1714500"/>
            <a:gd name="connsiteX12" fmla="*/ 1 w 1905001"/>
            <a:gd name="connsiteY12" fmla="*/ 0 h 1714500"/>
            <a:gd name="connsiteX0" fmla="*/ 1 w 1905001"/>
            <a:gd name="connsiteY0" fmla="*/ 0 h 1714500"/>
            <a:gd name="connsiteX1" fmla="*/ 937463 w 1905001"/>
            <a:gd name="connsiteY1" fmla="*/ 0 h 1714500"/>
            <a:gd name="connsiteX2" fmla="*/ 1905001 w 1905001"/>
            <a:gd name="connsiteY2" fmla="*/ 0 h 1714500"/>
            <a:gd name="connsiteX3" fmla="*/ 1905001 w 1905001"/>
            <a:gd name="connsiteY3" fmla="*/ 1714500 h 1714500"/>
            <a:gd name="connsiteX4" fmla="*/ 1 w 1905001"/>
            <a:gd name="connsiteY4" fmla="*/ 1714500 h 1714500"/>
            <a:gd name="connsiteX5" fmla="*/ 1 w 1905001"/>
            <a:gd name="connsiteY5" fmla="*/ 1517196 h 1714500"/>
            <a:gd name="connsiteX6" fmla="*/ 1 w 1905001"/>
            <a:gd name="connsiteY6" fmla="*/ 1146402 h 1714500"/>
            <a:gd name="connsiteX7" fmla="*/ 1 w 1905001"/>
            <a:gd name="connsiteY7" fmla="*/ 1330098 h 1714500"/>
            <a:gd name="connsiteX8" fmla="*/ 1 w 1905001"/>
            <a:gd name="connsiteY8" fmla="*/ 955902 h 1714500"/>
            <a:gd name="connsiteX9" fmla="*/ 0 w 1905001"/>
            <a:gd name="connsiteY9" fmla="*/ 768804 h 1714500"/>
            <a:gd name="connsiteX10" fmla="*/ 1 w 1905001"/>
            <a:gd name="connsiteY10" fmla="*/ 564696 h 1714500"/>
            <a:gd name="connsiteX11" fmla="*/ 1 w 1905001"/>
            <a:gd name="connsiteY11" fmla="*/ 384402 h 1714500"/>
            <a:gd name="connsiteX12" fmla="*/ 1 w 1905001"/>
            <a:gd name="connsiteY12" fmla="*/ 190500 h 1714500"/>
            <a:gd name="connsiteX13" fmla="*/ 1 w 1905001"/>
            <a:gd name="connsiteY13" fmla="*/ 0 h 1714500"/>
            <a:gd name="connsiteX0" fmla="*/ 1 w 1905001"/>
            <a:gd name="connsiteY0" fmla="*/ 0 h 1714500"/>
            <a:gd name="connsiteX1" fmla="*/ 937463 w 1905001"/>
            <a:gd name="connsiteY1" fmla="*/ 0 h 1714500"/>
            <a:gd name="connsiteX2" fmla="*/ 1905001 w 1905001"/>
            <a:gd name="connsiteY2" fmla="*/ 0 h 1714500"/>
            <a:gd name="connsiteX3" fmla="*/ 1905001 w 1905001"/>
            <a:gd name="connsiteY3" fmla="*/ 1714500 h 1714500"/>
            <a:gd name="connsiteX4" fmla="*/ 957515 w 1905001"/>
            <a:gd name="connsiteY4" fmla="*/ 1714500 h 1714500"/>
            <a:gd name="connsiteX5" fmla="*/ 1 w 1905001"/>
            <a:gd name="connsiteY5" fmla="*/ 1714500 h 1714500"/>
            <a:gd name="connsiteX6" fmla="*/ 1 w 1905001"/>
            <a:gd name="connsiteY6" fmla="*/ 1517196 h 1714500"/>
            <a:gd name="connsiteX7" fmla="*/ 1 w 1905001"/>
            <a:gd name="connsiteY7" fmla="*/ 1146402 h 1714500"/>
            <a:gd name="connsiteX8" fmla="*/ 1 w 1905001"/>
            <a:gd name="connsiteY8" fmla="*/ 1330098 h 1714500"/>
            <a:gd name="connsiteX9" fmla="*/ 1 w 1905001"/>
            <a:gd name="connsiteY9" fmla="*/ 955902 h 1714500"/>
            <a:gd name="connsiteX10" fmla="*/ 0 w 1905001"/>
            <a:gd name="connsiteY10" fmla="*/ 768804 h 1714500"/>
            <a:gd name="connsiteX11" fmla="*/ 1 w 1905001"/>
            <a:gd name="connsiteY11" fmla="*/ 564696 h 1714500"/>
            <a:gd name="connsiteX12" fmla="*/ 1 w 1905001"/>
            <a:gd name="connsiteY12" fmla="*/ 384402 h 1714500"/>
            <a:gd name="connsiteX13" fmla="*/ 1 w 1905001"/>
            <a:gd name="connsiteY13" fmla="*/ 190500 h 1714500"/>
            <a:gd name="connsiteX14" fmla="*/ 1 w 1905001"/>
            <a:gd name="connsiteY14" fmla="*/ 0 h 1714500"/>
            <a:gd name="connsiteX0" fmla="*/ 1 w 1905001"/>
            <a:gd name="connsiteY0" fmla="*/ 0 h 1714500"/>
            <a:gd name="connsiteX1" fmla="*/ 937463 w 1905001"/>
            <a:gd name="connsiteY1" fmla="*/ 0 h 1714500"/>
            <a:gd name="connsiteX2" fmla="*/ 1905001 w 1905001"/>
            <a:gd name="connsiteY2" fmla="*/ 0 h 1714500"/>
            <a:gd name="connsiteX3" fmla="*/ 1899989 w 1905001"/>
            <a:gd name="connsiteY3" fmla="*/ 285750 h 1714500"/>
            <a:gd name="connsiteX4" fmla="*/ 1905001 w 1905001"/>
            <a:gd name="connsiteY4" fmla="*/ 1714500 h 1714500"/>
            <a:gd name="connsiteX5" fmla="*/ 957515 w 1905001"/>
            <a:gd name="connsiteY5" fmla="*/ 1714500 h 1714500"/>
            <a:gd name="connsiteX6" fmla="*/ 1 w 1905001"/>
            <a:gd name="connsiteY6" fmla="*/ 1714500 h 1714500"/>
            <a:gd name="connsiteX7" fmla="*/ 1 w 1905001"/>
            <a:gd name="connsiteY7" fmla="*/ 1517196 h 1714500"/>
            <a:gd name="connsiteX8" fmla="*/ 1 w 1905001"/>
            <a:gd name="connsiteY8" fmla="*/ 1146402 h 1714500"/>
            <a:gd name="connsiteX9" fmla="*/ 1 w 1905001"/>
            <a:gd name="connsiteY9" fmla="*/ 1330098 h 1714500"/>
            <a:gd name="connsiteX10" fmla="*/ 1 w 1905001"/>
            <a:gd name="connsiteY10" fmla="*/ 955902 h 1714500"/>
            <a:gd name="connsiteX11" fmla="*/ 0 w 1905001"/>
            <a:gd name="connsiteY11" fmla="*/ 768804 h 1714500"/>
            <a:gd name="connsiteX12" fmla="*/ 1 w 1905001"/>
            <a:gd name="connsiteY12" fmla="*/ 564696 h 1714500"/>
            <a:gd name="connsiteX13" fmla="*/ 1 w 1905001"/>
            <a:gd name="connsiteY13" fmla="*/ 384402 h 1714500"/>
            <a:gd name="connsiteX14" fmla="*/ 1 w 1905001"/>
            <a:gd name="connsiteY14" fmla="*/ 190500 h 1714500"/>
            <a:gd name="connsiteX15" fmla="*/ 1 w 1905001"/>
            <a:gd name="connsiteY15" fmla="*/ 0 h 1714500"/>
            <a:gd name="connsiteX0" fmla="*/ 1 w 1905001"/>
            <a:gd name="connsiteY0" fmla="*/ 0 h 1714500"/>
            <a:gd name="connsiteX1" fmla="*/ 937463 w 1905001"/>
            <a:gd name="connsiteY1" fmla="*/ 0 h 1714500"/>
            <a:gd name="connsiteX2" fmla="*/ 1905001 w 1905001"/>
            <a:gd name="connsiteY2" fmla="*/ 0 h 1714500"/>
            <a:gd name="connsiteX3" fmla="*/ 1899989 w 1905001"/>
            <a:gd name="connsiteY3" fmla="*/ 285750 h 1714500"/>
            <a:gd name="connsiteX4" fmla="*/ 1905001 w 1905001"/>
            <a:gd name="connsiteY4" fmla="*/ 1714500 h 1714500"/>
            <a:gd name="connsiteX5" fmla="*/ 957515 w 1905001"/>
            <a:gd name="connsiteY5" fmla="*/ 1714500 h 1714500"/>
            <a:gd name="connsiteX6" fmla="*/ 1 w 1905001"/>
            <a:gd name="connsiteY6" fmla="*/ 1714500 h 1714500"/>
            <a:gd name="connsiteX7" fmla="*/ 1 w 1905001"/>
            <a:gd name="connsiteY7" fmla="*/ 1517196 h 1714500"/>
            <a:gd name="connsiteX8" fmla="*/ 1 w 1905001"/>
            <a:gd name="connsiteY8" fmla="*/ 1146402 h 1714500"/>
            <a:gd name="connsiteX9" fmla="*/ 1 w 1905001"/>
            <a:gd name="connsiteY9" fmla="*/ 1330098 h 1714500"/>
            <a:gd name="connsiteX10" fmla="*/ 1 w 1905001"/>
            <a:gd name="connsiteY10" fmla="*/ 955902 h 1714500"/>
            <a:gd name="connsiteX11" fmla="*/ 0 w 1905001"/>
            <a:gd name="connsiteY11" fmla="*/ 768804 h 1714500"/>
            <a:gd name="connsiteX12" fmla="*/ 1 w 1905001"/>
            <a:gd name="connsiteY12" fmla="*/ 564696 h 1714500"/>
            <a:gd name="connsiteX13" fmla="*/ 1 w 1905001"/>
            <a:gd name="connsiteY13" fmla="*/ 384402 h 1714500"/>
            <a:gd name="connsiteX14" fmla="*/ 1 w 1905001"/>
            <a:gd name="connsiteY14" fmla="*/ 190500 h 1714500"/>
            <a:gd name="connsiteX15" fmla="*/ 1 w 1905001"/>
            <a:gd name="connsiteY15" fmla="*/ 0 h 1714500"/>
            <a:gd name="connsiteX0" fmla="*/ 1 w 1905001"/>
            <a:gd name="connsiteY0" fmla="*/ 0 h 1714500"/>
            <a:gd name="connsiteX1" fmla="*/ 937463 w 1905001"/>
            <a:gd name="connsiteY1" fmla="*/ 0 h 1714500"/>
            <a:gd name="connsiteX2" fmla="*/ 1905001 w 1905001"/>
            <a:gd name="connsiteY2" fmla="*/ 0 h 1714500"/>
            <a:gd name="connsiteX3" fmla="*/ 1899989 w 1905001"/>
            <a:gd name="connsiteY3" fmla="*/ 285750 h 1714500"/>
            <a:gd name="connsiteX4" fmla="*/ 1905001 w 1905001"/>
            <a:gd name="connsiteY4" fmla="*/ 1714500 h 1714500"/>
            <a:gd name="connsiteX5" fmla="*/ 957515 w 1905001"/>
            <a:gd name="connsiteY5" fmla="*/ 1714500 h 1714500"/>
            <a:gd name="connsiteX6" fmla="*/ 1 w 1905001"/>
            <a:gd name="connsiteY6" fmla="*/ 1714500 h 1714500"/>
            <a:gd name="connsiteX7" fmla="*/ 1 w 1905001"/>
            <a:gd name="connsiteY7" fmla="*/ 1517196 h 1714500"/>
            <a:gd name="connsiteX8" fmla="*/ 1 w 1905001"/>
            <a:gd name="connsiteY8" fmla="*/ 1146402 h 1714500"/>
            <a:gd name="connsiteX9" fmla="*/ 1 w 1905001"/>
            <a:gd name="connsiteY9" fmla="*/ 1330098 h 1714500"/>
            <a:gd name="connsiteX10" fmla="*/ 1 w 1905001"/>
            <a:gd name="connsiteY10" fmla="*/ 955902 h 1714500"/>
            <a:gd name="connsiteX11" fmla="*/ 0 w 1905001"/>
            <a:gd name="connsiteY11" fmla="*/ 768804 h 1714500"/>
            <a:gd name="connsiteX12" fmla="*/ 1 w 1905001"/>
            <a:gd name="connsiteY12" fmla="*/ 564696 h 1714500"/>
            <a:gd name="connsiteX13" fmla="*/ 1 w 1905001"/>
            <a:gd name="connsiteY13" fmla="*/ 384402 h 1714500"/>
            <a:gd name="connsiteX14" fmla="*/ 1 w 1905001"/>
            <a:gd name="connsiteY14" fmla="*/ 190500 h 1714500"/>
            <a:gd name="connsiteX15" fmla="*/ 1 w 1905001"/>
            <a:gd name="connsiteY15" fmla="*/ 0 h 1714500"/>
            <a:gd name="connsiteX0" fmla="*/ 1 w 1905484"/>
            <a:gd name="connsiteY0" fmla="*/ 0 h 1714500"/>
            <a:gd name="connsiteX1" fmla="*/ 937463 w 1905484"/>
            <a:gd name="connsiteY1" fmla="*/ 0 h 1714500"/>
            <a:gd name="connsiteX2" fmla="*/ 1905001 w 1905484"/>
            <a:gd name="connsiteY2" fmla="*/ 0 h 1714500"/>
            <a:gd name="connsiteX3" fmla="*/ 1905002 w 1905484"/>
            <a:gd name="connsiteY3" fmla="*/ 280737 h 1714500"/>
            <a:gd name="connsiteX4" fmla="*/ 1905001 w 1905484"/>
            <a:gd name="connsiteY4" fmla="*/ 1714500 h 1714500"/>
            <a:gd name="connsiteX5" fmla="*/ 957515 w 1905484"/>
            <a:gd name="connsiteY5" fmla="*/ 1714500 h 1714500"/>
            <a:gd name="connsiteX6" fmla="*/ 1 w 1905484"/>
            <a:gd name="connsiteY6" fmla="*/ 1714500 h 1714500"/>
            <a:gd name="connsiteX7" fmla="*/ 1 w 1905484"/>
            <a:gd name="connsiteY7" fmla="*/ 1517196 h 1714500"/>
            <a:gd name="connsiteX8" fmla="*/ 1 w 1905484"/>
            <a:gd name="connsiteY8" fmla="*/ 1146402 h 1714500"/>
            <a:gd name="connsiteX9" fmla="*/ 1 w 1905484"/>
            <a:gd name="connsiteY9" fmla="*/ 1330098 h 1714500"/>
            <a:gd name="connsiteX10" fmla="*/ 1 w 1905484"/>
            <a:gd name="connsiteY10" fmla="*/ 955902 h 1714500"/>
            <a:gd name="connsiteX11" fmla="*/ 0 w 1905484"/>
            <a:gd name="connsiteY11" fmla="*/ 768804 h 1714500"/>
            <a:gd name="connsiteX12" fmla="*/ 1 w 1905484"/>
            <a:gd name="connsiteY12" fmla="*/ 564696 h 1714500"/>
            <a:gd name="connsiteX13" fmla="*/ 1 w 1905484"/>
            <a:gd name="connsiteY13" fmla="*/ 384402 h 1714500"/>
            <a:gd name="connsiteX14" fmla="*/ 1 w 1905484"/>
            <a:gd name="connsiteY14" fmla="*/ 190500 h 1714500"/>
            <a:gd name="connsiteX15" fmla="*/ 1 w 1905484"/>
            <a:gd name="connsiteY15" fmla="*/ 0 h 1714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905484" h="1714500">
              <a:moveTo>
                <a:pt x="1" y="0"/>
              </a:moveTo>
              <a:lnTo>
                <a:pt x="937463" y="0"/>
              </a:lnTo>
              <a:lnTo>
                <a:pt x="1905001" y="0"/>
              </a:lnTo>
              <a:cubicBezTo>
                <a:pt x="1903330" y="95250"/>
                <a:pt x="1906673" y="185487"/>
                <a:pt x="1905002" y="280737"/>
              </a:cubicBezTo>
              <a:cubicBezTo>
                <a:pt x="1906673" y="756987"/>
                <a:pt x="1903330" y="1238250"/>
                <a:pt x="1905001" y="1714500"/>
              </a:cubicBezTo>
              <a:lnTo>
                <a:pt x="957515" y="1714500"/>
              </a:lnTo>
              <a:lnTo>
                <a:pt x="1" y="1714500"/>
              </a:lnTo>
              <a:lnTo>
                <a:pt x="1" y="1517196"/>
              </a:lnTo>
              <a:lnTo>
                <a:pt x="1" y="1146402"/>
              </a:lnTo>
              <a:lnTo>
                <a:pt x="1" y="1330098"/>
              </a:lnTo>
              <a:lnTo>
                <a:pt x="1" y="955902"/>
              </a:lnTo>
              <a:cubicBezTo>
                <a:pt x="1" y="893536"/>
                <a:pt x="0" y="831170"/>
                <a:pt x="0" y="768804"/>
              </a:cubicBezTo>
              <a:cubicBezTo>
                <a:pt x="0" y="700768"/>
                <a:pt x="1" y="632732"/>
                <a:pt x="1" y="564696"/>
              </a:cubicBezTo>
              <a:lnTo>
                <a:pt x="1" y="384402"/>
              </a:lnTo>
              <a:lnTo>
                <a:pt x="1" y="190500"/>
              </a:lnTo>
              <a:lnTo>
                <a:pt x="1" y="0"/>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Cabin</a:t>
          </a:r>
        </a:p>
      </xdr:txBody>
    </xdr:sp>
    <xdr:clientData/>
  </xdr:twoCellAnchor>
  <xdr:twoCellAnchor editAs="oneCell">
    <xdr:from>
      <xdr:col>17</xdr:col>
      <xdr:colOff>391462</xdr:colOff>
      <xdr:row>5</xdr:row>
      <xdr:rowOff>179294</xdr:rowOff>
    </xdr:from>
    <xdr:to>
      <xdr:col>22</xdr:col>
      <xdr:colOff>392162</xdr:colOff>
      <xdr:row>8</xdr:row>
      <xdr:rowOff>180194</xdr:rowOff>
    </xdr:to>
    <xdr:sp macro="" textlink="">
      <xdr:nvSpPr>
        <xdr:cNvPr id="56" name="CO2Removal">
          <a:extLst>
            <a:ext uri="{FF2B5EF4-FFF2-40B4-BE49-F238E27FC236}">
              <a16:creationId xmlns:a16="http://schemas.microsoft.com/office/drawing/2014/main" id="{00000000-0008-0000-0500-000038000000}"/>
            </a:ext>
          </a:extLst>
        </xdr:cNvPr>
        <xdr:cNvSpPr txBox="1"/>
      </xdr:nvSpPr>
      <xdr:spPr>
        <a:xfrm>
          <a:off x="7084362" y="1119094"/>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CO</a:t>
          </a:r>
          <a:r>
            <a:rPr lang="en-GB" sz="1100" baseline="-25000"/>
            <a:t>2</a:t>
          </a:r>
          <a:r>
            <a:rPr lang="en-GB" sz="1100"/>
            <a:t> Removal</a:t>
          </a:r>
        </a:p>
      </xdr:txBody>
    </xdr:sp>
    <xdr:clientData/>
  </xdr:twoCellAnchor>
  <mc:AlternateContent xmlns:mc="http://schemas.openxmlformats.org/markup-compatibility/2006">
    <mc:Choice xmlns:a14="http://schemas.microsoft.com/office/drawing/2010/main" Requires="a14">
      <xdr:twoCellAnchor editAs="oneCell">
        <xdr:from>
          <xdr:col>18</xdr:col>
          <xdr:colOff>38100</xdr:colOff>
          <xdr:row>7</xdr:row>
          <xdr:rowOff>57150</xdr:rowOff>
        </xdr:from>
        <xdr:to>
          <xdr:col>23</xdr:col>
          <xdr:colOff>76200</xdr:colOff>
          <xdr:row>8</xdr:row>
          <xdr:rowOff>161925</xdr:rowOff>
        </xdr:to>
        <xdr:sp macro="" textlink="">
          <xdr:nvSpPr>
            <xdr:cNvPr id="200976" name="CO2_RemovalList" hidden="1">
              <a:extLst>
                <a:ext uri="{63B3BB69-23CF-44E3-9099-C40C66FF867C}">
                  <a14:compatExt spid="_x0000_s200976"/>
                </a:ext>
                <a:ext uri="{FF2B5EF4-FFF2-40B4-BE49-F238E27FC236}">
                  <a16:creationId xmlns:a16="http://schemas.microsoft.com/office/drawing/2014/main" id="{00000000-0008-0000-0300-000010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380673</xdr:colOff>
      <xdr:row>5</xdr:row>
      <xdr:rowOff>179294</xdr:rowOff>
    </xdr:from>
    <xdr:to>
      <xdr:col>14</xdr:col>
      <xdr:colOff>381373</xdr:colOff>
      <xdr:row>8</xdr:row>
      <xdr:rowOff>180194</xdr:rowOff>
    </xdr:to>
    <xdr:sp macro="" textlink="">
      <xdr:nvSpPr>
        <xdr:cNvPr id="199" name="HumidityControl">
          <a:extLst>
            <a:ext uri="{FF2B5EF4-FFF2-40B4-BE49-F238E27FC236}">
              <a16:creationId xmlns:a16="http://schemas.microsoft.com/office/drawing/2014/main" id="{00000000-0008-0000-0500-0000C7000000}"/>
            </a:ext>
          </a:extLst>
        </xdr:cNvPr>
        <xdr:cNvSpPr txBox="1"/>
      </xdr:nvSpPr>
      <xdr:spPr>
        <a:xfrm>
          <a:off x="3923973" y="1119094"/>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Humidity Control</a:t>
          </a:r>
        </a:p>
      </xdr:txBody>
    </xdr:sp>
    <xdr:clientData/>
  </xdr:twoCellAnchor>
  <mc:AlternateContent xmlns:mc="http://schemas.openxmlformats.org/markup-compatibility/2006">
    <mc:Choice xmlns:a14="http://schemas.microsoft.com/office/drawing/2010/main" Requires="a14">
      <xdr:twoCellAnchor editAs="oneCell">
        <xdr:from>
          <xdr:col>10</xdr:col>
          <xdr:colOff>38100</xdr:colOff>
          <xdr:row>7</xdr:row>
          <xdr:rowOff>66675</xdr:rowOff>
        </xdr:from>
        <xdr:to>
          <xdr:col>15</xdr:col>
          <xdr:colOff>76200</xdr:colOff>
          <xdr:row>8</xdr:row>
          <xdr:rowOff>171450</xdr:rowOff>
        </xdr:to>
        <xdr:sp macro="" textlink="">
          <xdr:nvSpPr>
            <xdr:cNvPr id="200979" name="HumidityControlList" hidden="1">
              <a:extLst>
                <a:ext uri="{63B3BB69-23CF-44E3-9099-C40C66FF867C}">
                  <a14:compatExt spid="_x0000_s200979"/>
                </a:ext>
                <a:ext uri="{FF2B5EF4-FFF2-40B4-BE49-F238E27FC236}">
                  <a16:creationId xmlns:a16="http://schemas.microsoft.com/office/drawing/2014/main" id="{00000000-0008-0000-0300-000013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380673</xdr:colOff>
      <xdr:row>35</xdr:row>
      <xdr:rowOff>101600</xdr:rowOff>
    </xdr:from>
    <xdr:to>
      <xdr:col>14</xdr:col>
      <xdr:colOff>381373</xdr:colOff>
      <xdr:row>38</xdr:row>
      <xdr:rowOff>102500</xdr:rowOff>
    </xdr:to>
    <xdr:sp macro="" textlink="">
      <xdr:nvSpPr>
        <xdr:cNvPr id="298" name="BrineProcessing">
          <a:extLst>
            <a:ext uri="{FF2B5EF4-FFF2-40B4-BE49-F238E27FC236}">
              <a16:creationId xmlns:a16="http://schemas.microsoft.com/office/drawing/2014/main" id="{00000000-0008-0000-0500-00002A010000}"/>
            </a:ext>
          </a:extLst>
        </xdr:cNvPr>
        <xdr:cNvSpPr txBox="1"/>
      </xdr:nvSpPr>
      <xdr:spPr>
        <a:xfrm>
          <a:off x="3923973" y="67564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Brine</a:t>
          </a:r>
          <a:r>
            <a:rPr lang="en-GB" sz="1100" baseline="0"/>
            <a:t> Processing</a:t>
          </a:r>
          <a:endParaRPr lang="en-GB" sz="1100"/>
        </a:p>
      </xdr:txBody>
    </xdr:sp>
    <xdr:clientData/>
  </xdr:twoCellAnchor>
  <xdr:twoCellAnchor editAs="oneCell">
    <xdr:from>
      <xdr:col>10</xdr:col>
      <xdr:colOff>381083</xdr:colOff>
      <xdr:row>20</xdr:row>
      <xdr:rowOff>178679</xdr:rowOff>
    </xdr:from>
    <xdr:to>
      <xdr:col>11</xdr:col>
      <xdr:colOff>1</xdr:colOff>
      <xdr:row>24</xdr:row>
      <xdr:rowOff>475</xdr:rowOff>
    </xdr:to>
    <xdr:cxnSp macro="">
      <xdr:nvCxnSpPr>
        <xdr:cNvPr id="308" name="H2O_ProdCrew">
          <a:extLst>
            <a:ext uri="{FF2B5EF4-FFF2-40B4-BE49-F238E27FC236}">
              <a16:creationId xmlns:a16="http://schemas.microsoft.com/office/drawing/2014/main" id="{00000000-0008-0000-0500-000034010000}"/>
            </a:ext>
          </a:extLst>
        </xdr:cNvPr>
        <xdr:cNvCxnSpPr>
          <a:cxnSpLocks/>
          <a:stCxn id="503" idx="1"/>
        </xdr:cNvCxnSpPr>
      </xdr:nvCxnSpPr>
      <xdr:spPr>
        <a:xfrm flipV="1">
          <a:off x="4318083" y="3975979"/>
          <a:ext cx="12618" cy="583796"/>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13</xdr:col>
      <xdr:colOff>381301</xdr:colOff>
      <xdr:row>21</xdr:row>
      <xdr:rowOff>0</xdr:rowOff>
    </xdr:from>
    <xdr:to>
      <xdr:col>14</xdr:col>
      <xdr:colOff>1</xdr:colOff>
      <xdr:row>24</xdr:row>
      <xdr:rowOff>475</xdr:rowOff>
    </xdr:to>
    <xdr:cxnSp macro="">
      <xdr:nvCxnSpPr>
        <xdr:cNvPr id="311" name="O2_ConCrew">
          <a:extLst>
            <a:ext uri="{FF2B5EF4-FFF2-40B4-BE49-F238E27FC236}">
              <a16:creationId xmlns:a16="http://schemas.microsoft.com/office/drawing/2014/main" id="{00000000-0008-0000-0500-000037010000}"/>
            </a:ext>
          </a:extLst>
        </xdr:cNvPr>
        <xdr:cNvCxnSpPr>
          <a:cxnSpLocks/>
          <a:endCxn id="503" idx="5"/>
        </xdr:cNvCxnSpPr>
      </xdr:nvCxnSpPr>
      <xdr:spPr>
        <a:xfrm flipH="1">
          <a:off x="5499401" y="3987800"/>
          <a:ext cx="12400" cy="571975"/>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0</xdr:colOff>
      <xdr:row>24</xdr:row>
      <xdr:rowOff>188595</xdr:rowOff>
    </xdr:from>
    <xdr:to>
      <xdr:col>10</xdr:col>
      <xdr:colOff>0</xdr:colOff>
      <xdr:row>25</xdr:row>
      <xdr:rowOff>513</xdr:rowOff>
    </xdr:to>
    <xdr:cxnSp macro="">
      <xdr:nvCxnSpPr>
        <xdr:cNvPr id="314" name="FoodConCrew">
          <a:extLst>
            <a:ext uri="{FF2B5EF4-FFF2-40B4-BE49-F238E27FC236}">
              <a16:creationId xmlns:a16="http://schemas.microsoft.com/office/drawing/2014/main" id="{00000000-0008-0000-0500-00003A010000}"/>
            </a:ext>
          </a:extLst>
        </xdr:cNvPr>
        <xdr:cNvCxnSpPr>
          <a:cxnSpLocks/>
        </xdr:cNvCxnSpPr>
      </xdr:nvCxnSpPr>
      <xdr:spPr>
        <a:xfrm flipV="1">
          <a:off x="1143000" y="4189095"/>
          <a:ext cx="1143000" cy="190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0</xdr:colOff>
      <xdr:row>25</xdr:row>
      <xdr:rowOff>189677</xdr:rowOff>
    </xdr:from>
    <xdr:to>
      <xdr:col>9</xdr:col>
      <xdr:colOff>381012</xdr:colOff>
      <xdr:row>26</xdr:row>
      <xdr:rowOff>1</xdr:rowOff>
    </xdr:to>
    <xdr:cxnSp macro="">
      <xdr:nvCxnSpPr>
        <xdr:cNvPr id="321" name="H2O_FoodConCrew">
          <a:extLst>
            <a:ext uri="{FF2B5EF4-FFF2-40B4-BE49-F238E27FC236}">
              <a16:creationId xmlns:a16="http://schemas.microsoft.com/office/drawing/2014/main" id="{00000000-0008-0000-0500-000041010000}"/>
            </a:ext>
          </a:extLst>
        </xdr:cNvPr>
        <xdr:cNvCxnSpPr>
          <a:cxnSpLocks/>
          <a:endCxn id="503" idx="17"/>
        </xdr:cNvCxnSpPr>
      </xdr:nvCxnSpPr>
      <xdr:spPr>
        <a:xfrm flipV="1">
          <a:off x="2755900" y="4939477"/>
          <a:ext cx="1168412" cy="824"/>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184173</xdr:colOff>
      <xdr:row>27</xdr:row>
      <xdr:rowOff>900</xdr:rowOff>
    </xdr:from>
    <xdr:to>
      <xdr:col>12</xdr:col>
      <xdr:colOff>194186</xdr:colOff>
      <xdr:row>30</xdr:row>
      <xdr:rowOff>0</xdr:rowOff>
    </xdr:to>
    <xdr:cxnSp macro="">
      <xdr:nvCxnSpPr>
        <xdr:cNvPr id="324" name="Urine_ProdCrew">
          <a:extLst>
            <a:ext uri="{FF2B5EF4-FFF2-40B4-BE49-F238E27FC236}">
              <a16:creationId xmlns:a16="http://schemas.microsoft.com/office/drawing/2014/main" id="{00000000-0008-0000-0500-000044010000}"/>
            </a:ext>
          </a:extLst>
        </xdr:cNvPr>
        <xdr:cNvCxnSpPr>
          <a:cxnSpLocks/>
          <a:stCxn id="503" idx="13"/>
          <a:endCxn id="52" idx="0"/>
        </xdr:cNvCxnSpPr>
      </xdr:nvCxnSpPr>
      <xdr:spPr>
        <a:xfrm flipH="1">
          <a:off x="4908573" y="5131700"/>
          <a:ext cx="10013" cy="570600"/>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31</xdr:row>
      <xdr:rowOff>95700</xdr:rowOff>
    </xdr:from>
    <xdr:to>
      <xdr:col>18</xdr:col>
      <xdr:colOff>0</xdr:colOff>
      <xdr:row>31</xdr:row>
      <xdr:rowOff>95700</xdr:rowOff>
    </xdr:to>
    <xdr:cxnSp macro="">
      <xdr:nvCxnSpPr>
        <xdr:cNvPr id="327" name="GreyWaterFromUrine">
          <a:extLst>
            <a:ext uri="{FF2B5EF4-FFF2-40B4-BE49-F238E27FC236}">
              <a16:creationId xmlns:a16="http://schemas.microsoft.com/office/drawing/2014/main" id="{00000000-0008-0000-0500-000047010000}"/>
            </a:ext>
          </a:extLst>
        </xdr:cNvPr>
        <xdr:cNvCxnSpPr>
          <a:stCxn id="52" idx="3"/>
          <a:endCxn id="8206" idx="1"/>
        </xdr:cNvCxnSpPr>
      </xdr:nvCxnSpPr>
      <xdr:spPr>
        <a:xfrm>
          <a:off x="5893173" y="5988500"/>
          <a:ext cx="1193427" cy="0"/>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184173</xdr:colOff>
      <xdr:row>33</xdr:row>
      <xdr:rowOff>900</xdr:rowOff>
    </xdr:from>
    <xdr:to>
      <xdr:col>12</xdr:col>
      <xdr:colOff>184173</xdr:colOff>
      <xdr:row>35</xdr:row>
      <xdr:rowOff>101600</xdr:rowOff>
    </xdr:to>
    <xdr:cxnSp macro="">
      <xdr:nvCxnSpPr>
        <xdr:cNvPr id="330" name="Brine_Prod">
          <a:extLst>
            <a:ext uri="{FF2B5EF4-FFF2-40B4-BE49-F238E27FC236}">
              <a16:creationId xmlns:a16="http://schemas.microsoft.com/office/drawing/2014/main" id="{00000000-0008-0000-0500-00004A010000}"/>
            </a:ext>
          </a:extLst>
        </xdr:cNvPr>
        <xdr:cNvCxnSpPr>
          <a:stCxn id="52" idx="2"/>
          <a:endCxn id="298" idx="0"/>
        </xdr:cNvCxnSpPr>
      </xdr:nvCxnSpPr>
      <xdr:spPr>
        <a:xfrm>
          <a:off x="4908573" y="6274700"/>
          <a:ext cx="0" cy="481700"/>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380672</xdr:colOff>
      <xdr:row>7</xdr:row>
      <xdr:rowOff>84494</xdr:rowOff>
    </xdr:from>
    <xdr:to>
      <xdr:col>23</xdr:col>
      <xdr:colOff>699</xdr:colOff>
      <xdr:row>31</xdr:row>
      <xdr:rowOff>95700</xdr:rowOff>
    </xdr:to>
    <xdr:cxnSp macro="">
      <xdr:nvCxnSpPr>
        <xdr:cNvPr id="118" name="HumControlToWWFiltration" hidden="1">
          <a:extLst>
            <a:ext uri="{FF2B5EF4-FFF2-40B4-BE49-F238E27FC236}">
              <a16:creationId xmlns:a16="http://schemas.microsoft.com/office/drawing/2014/main" id="{00000000-0008-0000-0500-000076000000}"/>
            </a:ext>
          </a:extLst>
        </xdr:cNvPr>
        <xdr:cNvCxnSpPr>
          <a:stCxn id="199" idx="1"/>
          <a:endCxn id="8206" idx="3"/>
        </xdr:cNvCxnSpPr>
      </xdr:nvCxnSpPr>
      <xdr:spPr>
        <a:xfrm rot="10800000" flipH="1" flipV="1">
          <a:off x="3923972" y="1405294"/>
          <a:ext cx="5131827" cy="4583206"/>
        </a:xfrm>
        <a:prstGeom prst="bentConnector5">
          <a:avLst>
            <a:gd name="adj1" fmla="val -7301"/>
            <a:gd name="adj2" fmla="val 143659"/>
            <a:gd name="adj3" fmla="val 104455"/>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393356</xdr:colOff>
      <xdr:row>13</xdr:row>
      <xdr:rowOff>78416</xdr:rowOff>
    </xdr:from>
    <xdr:to>
      <xdr:col>18</xdr:col>
      <xdr:colOff>0</xdr:colOff>
      <xdr:row>13</xdr:row>
      <xdr:rowOff>83879</xdr:rowOff>
    </xdr:to>
    <xdr:cxnSp macro="">
      <xdr:nvCxnSpPr>
        <xdr:cNvPr id="341" name="Gerade Verbindung mit Pfeil 340">
          <a:extLst>
            <a:ext uri="{FF2B5EF4-FFF2-40B4-BE49-F238E27FC236}">
              <a16:creationId xmlns:a16="http://schemas.microsoft.com/office/drawing/2014/main" id="{00000000-0008-0000-0500-000055010000}"/>
            </a:ext>
          </a:extLst>
        </xdr:cNvPr>
        <xdr:cNvCxnSpPr>
          <a:stCxn id="67" idx="1"/>
          <a:endCxn id="225" idx="3"/>
        </xdr:cNvCxnSpPr>
      </xdr:nvCxnSpPr>
      <xdr:spPr>
        <a:xfrm flipH="1" flipV="1">
          <a:off x="5905156" y="2542216"/>
          <a:ext cx="1181444" cy="5463"/>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20</xdr:col>
      <xdr:colOff>197200</xdr:colOff>
      <xdr:row>14</xdr:row>
      <xdr:rowOff>179579</xdr:rowOff>
    </xdr:from>
    <xdr:to>
      <xdr:col>20</xdr:col>
      <xdr:colOff>197200</xdr:colOff>
      <xdr:row>17</xdr:row>
      <xdr:rowOff>177656</xdr:rowOff>
    </xdr:to>
    <xdr:cxnSp macro="">
      <xdr:nvCxnSpPr>
        <xdr:cNvPr id="345" name="O2_FromElectrolysis" hidden="1">
          <a:extLst>
            <a:ext uri="{FF2B5EF4-FFF2-40B4-BE49-F238E27FC236}">
              <a16:creationId xmlns:a16="http://schemas.microsoft.com/office/drawing/2014/main" id="{00000000-0008-0000-0500-000059010000}"/>
            </a:ext>
          </a:extLst>
        </xdr:cNvPr>
        <xdr:cNvCxnSpPr>
          <a:stCxn id="73" idx="0"/>
          <a:endCxn id="67" idx="2"/>
        </xdr:cNvCxnSpPr>
      </xdr:nvCxnSpPr>
      <xdr:spPr>
        <a:xfrm flipV="1">
          <a:off x="8071200" y="2833879"/>
          <a:ext cx="0" cy="569577"/>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20</xdr:col>
      <xdr:colOff>197200</xdr:colOff>
      <xdr:row>20</xdr:row>
      <xdr:rowOff>178556</xdr:rowOff>
    </xdr:from>
    <xdr:to>
      <xdr:col>20</xdr:col>
      <xdr:colOff>205736</xdr:colOff>
      <xdr:row>24</xdr:row>
      <xdr:rowOff>0</xdr:rowOff>
    </xdr:to>
    <xdr:cxnSp macro="">
      <xdr:nvCxnSpPr>
        <xdr:cNvPr id="349" name="H2O_ToElectrolysis" hidden="1">
          <a:extLst>
            <a:ext uri="{FF2B5EF4-FFF2-40B4-BE49-F238E27FC236}">
              <a16:creationId xmlns:a16="http://schemas.microsoft.com/office/drawing/2014/main" id="{00000000-0008-0000-0500-00005D010000}"/>
            </a:ext>
          </a:extLst>
        </xdr:cNvPr>
        <xdr:cNvCxnSpPr>
          <a:stCxn id="136" idx="3"/>
          <a:endCxn id="73" idx="2"/>
        </xdr:cNvCxnSpPr>
      </xdr:nvCxnSpPr>
      <xdr:spPr>
        <a:xfrm flipH="1" flipV="1">
          <a:off x="8071200" y="3975856"/>
          <a:ext cx="8536" cy="583444"/>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20</xdr:col>
      <xdr:colOff>197200</xdr:colOff>
      <xdr:row>27</xdr:row>
      <xdr:rowOff>900</xdr:rowOff>
    </xdr:from>
    <xdr:to>
      <xdr:col>20</xdr:col>
      <xdr:colOff>207213</xdr:colOff>
      <xdr:row>30</xdr:row>
      <xdr:rowOff>0</xdr:rowOff>
    </xdr:to>
    <xdr:cxnSp macro="">
      <xdr:nvCxnSpPr>
        <xdr:cNvPr id="352" name="H2O_FromWWFilt">
          <a:extLst>
            <a:ext uri="{FF2B5EF4-FFF2-40B4-BE49-F238E27FC236}">
              <a16:creationId xmlns:a16="http://schemas.microsoft.com/office/drawing/2014/main" id="{00000000-0008-0000-0500-000060010000}"/>
            </a:ext>
          </a:extLst>
        </xdr:cNvPr>
        <xdr:cNvCxnSpPr>
          <a:stCxn id="8206" idx="0"/>
          <a:endCxn id="136" idx="13"/>
        </xdr:cNvCxnSpPr>
      </xdr:nvCxnSpPr>
      <xdr:spPr>
        <a:xfrm flipV="1">
          <a:off x="8071200" y="5131700"/>
          <a:ext cx="10013" cy="570600"/>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381035</xdr:colOff>
      <xdr:row>25</xdr:row>
      <xdr:rowOff>90438</xdr:rowOff>
    </xdr:from>
    <xdr:to>
      <xdr:col>18</xdr:col>
      <xdr:colOff>0</xdr:colOff>
      <xdr:row>25</xdr:row>
      <xdr:rowOff>95786</xdr:rowOff>
    </xdr:to>
    <xdr:cxnSp macro="">
      <xdr:nvCxnSpPr>
        <xdr:cNvPr id="355" name="H2O_ConCrew">
          <a:extLst>
            <a:ext uri="{FF2B5EF4-FFF2-40B4-BE49-F238E27FC236}">
              <a16:creationId xmlns:a16="http://schemas.microsoft.com/office/drawing/2014/main" id="{00000000-0008-0000-0500-000063010000}"/>
            </a:ext>
          </a:extLst>
        </xdr:cNvPr>
        <xdr:cNvCxnSpPr>
          <a:cxnSpLocks/>
          <a:stCxn id="136" idx="18"/>
          <a:endCxn id="503" idx="8"/>
        </xdr:cNvCxnSpPr>
      </xdr:nvCxnSpPr>
      <xdr:spPr>
        <a:xfrm flipH="1" flipV="1">
          <a:off x="5892835" y="4840238"/>
          <a:ext cx="1193765" cy="5348"/>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13</xdr:row>
      <xdr:rowOff>78617</xdr:rowOff>
    </xdr:from>
    <xdr:to>
      <xdr:col>29</xdr:col>
      <xdr:colOff>85200</xdr:colOff>
      <xdr:row>25</xdr:row>
      <xdr:rowOff>189677</xdr:rowOff>
    </xdr:to>
    <xdr:cxnSp macro="">
      <xdr:nvCxnSpPr>
        <xdr:cNvPr id="358" name="H2O_FromCO2Reduction">
          <a:extLst>
            <a:ext uri="{FF2B5EF4-FFF2-40B4-BE49-F238E27FC236}">
              <a16:creationId xmlns:a16="http://schemas.microsoft.com/office/drawing/2014/main" id="{00000000-0008-0000-0500-000066010000}"/>
            </a:ext>
          </a:extLst>
        </xdr:cNvPr>
        <xdr:cNvCxnSpPr>
          <a:cxnSpLocks/>
          <a:stCxn id="14" idx="8"/>
          <a:endCxn id="136" idx="9"/>
        </xdr:cNvCxnSpPr>
      </xdr:nvCxnSpPr>
      <xdr:spPr>
        <a:xfrm flipH="1">
          <a:off x="9055800" y="2542417"/>
          <a:ext cx="2446700" cy="2397060"/>
        </a:xfrm>
        <a:prstGeom prst="bentConnector3">
          <a:avLst>
            <a:gd name="adj1" fmla="val -9357"/>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282038</xdr:colOff>
      <xdr:row>14</xdr:row>
      <xdr:rowOff>179579</xdr:rowOff>
    </xdr:from>
    <xdr:to>
      <xdr:col>26</xdr:col>
      <xdr:colOff>292051</xdr:colOff>
      <xdr:row>17</xdr:row>
      <xdr:rowOff>177656</xdr:rowOff>
    </xdr:to>
    <xdr:cxnSp macro="">
      <xdr:nvCxnSpPr>
        <xdr:cNvPr id="361" name="H2_ToCO2Reduction">
          <a:extLst>
            <a:ext uri="{FF2B5EF4-FFF2-40B4-BE49-F238E27FC236}">
              <a16:creationId xmlns:a16="http://schemas.microsoft.com/office/drawing/2014/main" id="{00000000-0008-0000-0500-000069010000}"/>
            </a:ext>
          </a:extLst>
        </xdr:cNvPr>
        <xdr:cNvCxnSpPr>
          <a:cxnSpLocks/>
          <a:stCxn id="72" idx="0"/>
          <a:endCxn id="14" idx="13"/>
        </xdr:cNvCxnSpPr>
      </xdr:nvCxnSpPr>
      <xdr:spPr>
        <a:xfrm flipV="1">
          <a:off x="10518238" y="2833879"/>
          <a:ext cx="10013" cy="569577"/>
        </a:xfrm>
        <a:prstGeom prst="straightConnector1">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19</xdr:row>
      <xdr:rowOff>82856</xdr:rowOff>
    </xdr:from>
    <xdr:to>
      <xdr:col>24</xdr:col>
      <xdr:colOff>84838</xdr:colOff>
      <xdr:row>19</xdr:row>
      <xdr:rowOff>82856</xdr:rowOff>
    </xdr:to>
    <xdr:cxnSp macro="">
      <xdr:nvCxnSpPr>
        <xdr:cNvPr id="364" name="H2_FromElectrolysis" hidden="1">
          <a:extLst>
            <a:ext uri="{FF2B5EF4-FFF2-40B4-BE49-F238E27FC236}">
              <a16:creationId xmlns:a16="http://schemas.microsoft.com/office/drawing/2014/main" id="{00000000-0008-0000-0500-00006C010000}"/>
            </a:ext>
          </a:extLst>
        </xdr:cNvPr>
        <xdr:cNvCxnSpPr>
          <a:stCxn id="73" idx="3"/>
          <a:endCxn id="72" idx="1"/>
        </xdr:cNvCxnSpPr>
      </xdr:nvCxnSpPr>
      <xdr:spPr>
        <a:xfrm>
          <a:off x="9055800" y="3689656"/>
          <a:ext cx="477838" cy="0"/>
        </a:xfrm>
        <a:prstGeom prst="straightConnector1">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174525</xdr:colOff>
      <xdr:row>8</xdr:row>
      <xdr:rowOff>180194</xdr:rowOff>
    </xdr:from>
    <xdr:to>
      <xdr:col>12</xdr:col>
      <xdr:colOff>184173</xdr:colOff>
      <xdr:row>11</xdr:row>
      <xdr:rowOff>178679</xdr:rowOff>
    </xdr:to>
    <xdr:cxnSp macro="">
      <xdr:nvCxnSpPr>
        <xdr:cNvPr id="367" name="Gerade Verbindung mit Pfeil 366">
          <a:extLst>
            <a:ext uri="{FF2B5EF4-FFF2-40B4-BE49-F238E27FC236}">
              <a16:creationId xmlns:a16="http://schemas.microsoft.com/office/drawing/2014/main" id="{00000000-0008-0000-0500-00006F010000}"/>
            </a:ext>
          </a:extLst>
        </xdr:cNvPr>
        <xdr:cNvCxnSpPr>
          <a:stCxn id="225" idx="1"/>
          <a:endCxn id="199" idx="2"/>
        </xdr:cNvCxnSpPr>
      </xdr:nvCxnSpPr>
      <xdr:spPr>
        <a:xfrm flipV="1">
          <a:off x="4898925" y="1691494"/>
          <a:ext cx="9648" cy="569985"/>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7</xdr:row>
      <xdr:rowOff>84494</xdr:rowOff>
    </xdr:from>
    <xdr:to>
      <xdr:col>17</xdr:col>
      <xdr:colOff>391462</xdr:colOff>
      <xdr:row>7</xdr:row>
      <xdr:rowOff>84494</xdr:rowOff>
    </xdr:to>
    <xdr:cxnSp macro="">
      <xdr:nvCxnSpPr>
        <xdr:cNvPr id="379" name="HumControlToCO2Removal">
          <a:extLst>
            <a:ext uri="{FF2B5EF4-FFF2-40B4-BE49-F238E27FC236}">
              <a16:creationId xmlns:a16="http://schemas.microsoft.com/office/drawing/2014/main" id="{00000000-0008-0000-0500-00007B010000}"/>
            </a:ext>
          </a:extLst>
        </xdr:cNvPr>
        <xdr:cNvCxnSpPr>
          <a:stCxn id="199" idx="3"/>
          <a:endCxn id="56" idx="1"/>
        </xdr:cNvCxnSpPr>
      </xdr:nvCxnSpPr>
      <xdr:spPr>
        <a:xfrm>
          <a:off x="5893173" y="1405294"/>
          <a:ext cx="1191189" cy="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0</xdr:colOff>
      <xdr:row>9</xdr:row>
      <xdr:rowOff>0</xdr:rowOff>
    </xdr:from>
    <xdr:to>
      <xdr:col>14</xdr:col>
      <xdr:colOff>0</xdr:colOff>
      <xdr:row>12</xdr:row>
      <xdr:rowOff>0</xdr:rowOff>
    </xdr:to>
    <xdr:cxnSp macro="">
      <xdr:nvCxnSpPr>
        <xdr:cNvPr id="382" name="Gerade Verbindung mit Pfeil 381">
          <a:extLst>
            <a:ext uri="{FF2B5EF4-FFF2-40B4-BE49-F238E27FC236}">
              <a16:creationId xmlns:a16="http://schemas.microsoft.com/office/drawing/2014/main" id="{00000000-0008-0000-0500-00007E010000}"/>
            </a:ext>
          </a:extLst>
        </xdr:cNvPr>
        <xdr:cNvCxnSpPr/>
      </xdr:nvCxnSpPr>
      <xdr:spPr>
        <a:xfrm>
          <a:off x="5511800" y="1701800"/>
          <a:ext cx="0" cy="57150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0</xdr:colOff>
      <xdr:row>9</xdr:row>
      <xdr:rowOff>0</xdr:rowOff>
    </xdr:from>
    <xdr:to>
      <xdr:col>19</xdr:col>
      <xdr:colOff>0</xdr:colOff>
      <xdr:row>10</xdr:row>
      <xdr:rowOff>0</xdr:rowOff>
    </xdr:to>
    <xdr:cxnSp macro="">
      <xdr:nvCxnSpPr>
        <xdr:cNvPr id="168" name="CO2RemovalToCabinAir">
          <a:extLst>
            <a:ext uri="{FF2B5EF4-FFF2-40B4-BE49-F238E27FC236}">
              <a16:creationId xmlns:a16="http://schemas.microsoft.com/office/drawing/2014/main" id="{00000000-0008-0000-0500-0000A8000000}"/>
            </a:ext>
          </a:extLst>
        </xdr:cNvPr>
        <xdr:cNvCxnSpPr/>
      </xdr:nvCxnSpPr>
      <xdr:spPr>
        <a:xfrm rot="10800000" flipV="1">
          <a:off x="3810000" y="1143000"/>
          <a:ext cx="1905000" cy="190500"/>
        </a:xfrm>
        <a:prstGeom prst="bentConnector3">
          <a:avLst>
            <a:gd name="adj1" fmla="val 0"/>
          </a:avLst>
        </a:prstGeom>
        <a:ln w="12700">
          <a:solidFill>
            <a:srgbClr val="4DAF4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13</xdr:row>
      <xdr:rowOff>83879</xdr:rowOff>
    </xdr:from>
    <xdr:to>
      <xdr:col>24</xdr:col>
      <xdr:colOff>66910</xdr:colOff>
      <xdr:row>13</xdr:row>
      <xdr:rowOff>93907</xdr:rowOff>
    </xdr:to>
    <xdr:cxnSp macro="">
      <xdr:nvCxnSpPr>
        <xdr:cNvPr id="391" name="O2_FromCo2Reduction" hidden="1">
          <a:extLst>
            <a:ext uri="{FF2B5EF4-FFF2-40B4-BE49-F238E27FC236}">
              <a16:creationId xmlns:a16="http://schemas.microsoft.com/office/drawing/2014/main" id="{00000000-0008-0000-0500-000087010000}"/>
            </a:ext>
          </a:extLst>
        </xdr:cNvPr>
        <xdr:cNvCxnSpPr>
          <a:cxnSpLocks/>
          <a:endCxn id="67" idx="3"/>
        </xdr:cNvCxnSpPr>
      </xdr:nvCxnSpPr>
      <xdr:spPr>
        <a:xfrm flipH="1" flipV="1">
          <a:off x="9055800" y="2547679"/>
          <a:ext cx="459910" cy="10028"/>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277906</xdr:colOff>
      <xdr:row>30</xdr:row>
      <xdr:rowOff>0</xdr:rowOff>
    </xdr:from>
    <xdr:to>
      <xdr:col>29</xdr:col>
      <xdr:colOff>278606</xdr:colOff>
      <xdr:row>33</xdr:row>
      <xdr:rowOff>900</xdr:rowOff>
    </xdr:to>
    <xdr:sp macro="" textlink="">
      <xdr:nvSpPr>
        <xdr:cNvPr id="426" name="ISRU">
          <a:extLst>
            <a:ext uri="{FF2B5EF4-FFF2-40B4-BE49-F238E27FC236}">
              <a16:creationId xmlns:a16="http://schemas.microsoft.com/office/drawing/2014/main" id="{00000000-0008-0000-0500-0000AA010000}"/>
            </a:ext>
          </a:extLst>
        </xdr:cNvPr>
        <xdr:cNvSpPr txBox="1"/>
      </xdr:nvSpPr>
      <xdr:spPr>
        <a:xfrm>
          <a:off x="9726706" y="57023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ISRU</a:t>
          </a:r>
        </a:p>
      </xdr:txBody>
    </xdr:sp>
    <xdr:clientData/>
  </xdr:twoCellAnchor>
  <xdr:twoCellAnchor editAs="oneCell">
    <xdr:from>
      <xdr:col>14</xdr:col>
      <xdr:colOff>381373</xdr:colOff>
      <xdr:row>37</xdr:row>
      <xdr:rowOff>4595</xdr:rowOff>
    </xdr:from>
    <xdr:to>
      <xdr:col>18</xdr:col>
      <xdr:colOff>0</xdr:colOff>
      <xdr:row>37</xdr:row>
      <xdr:rowOff>6800</xdr:rowOff>
    </xdr:to>
    <xdr:cxnSp macro="">
      <xdr:nvCxnSpPr>
        <xdr:cNvPr id="434" name="BrineSolidWaste">
          <a:extLst>
            <a:ext uri="{FF2B5EF4-FFF2-40B4-BE49-F238E27FC236}">
              <a16:creationId xmlns:a16="http://schemas.microsoft.com/office/drawing/2014/main" id="{00000000-0008-0000-0500-0000B2010000}"/>
            </a:ext>
          </a:extLst>
        </xdr:cNvPr>
        <xdr:cNvCxnSpPr>
          <a:stCxn id="298" idx="3"/>
          <a:endCxn id="500" idx="18"/>
        </xdr:cNvCxnSpPr>
      </xdr:nvCxnSpPr>
      <xdr:spPr>
        <a:xfrm flipV="1">
          <a:off x="5893173" y="7040395"/>
          <a:ext cx="1193427" cy="2205"/>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0</xdr:colOff>
      <xdr:row>27</xdr:row>
      <xdr:rowOff>0</xdr:rowOff>
    </xdr:from>
    <xdr:to>
      <xdr:col>20</xdr:col>
      <xdr:colOff>190500</xdr:colOff>
      <xdr:row>39</xdr:row>
      <xdr:rowOff>0</xdr:rowOff>
    </xdr:to>
    <xdr:cxnSp macro="">
      <xdr:nvCxnSpPr>
        <xdr:cNvPr id="227" name="Verbinder: gewinkelt 226">
          <a:extLst>
            <a:ext uri="{FF2B5EF4-FFF2-40B4-BE49-F238E27FC236}">
              <a16:creationId xmlns:a16="http://schemas.microsoft.com/office/drawing/2014/main" id="{00000000-0008-0000-0500-0000E3000000}"/>
            </a:ext>
          </a:extLst>
        </xdr:cNvPr>
        <xdr:cNvCxnSpPr>
          <a:cxnSpLocks/>
          <a:stCxn id="611" idx="2"/>
        </xdr:cNvCxnSpPr>
      </xdr:nvCxnSpPr>
      <xdr:spPr>
        <a:xfrm rot="16200000" flipH="1">
          <a:off x="2381250" y="2952750"/>
          <a:ext cx="2286000" cy="5524500"/>
        </a:xfrm>
        <a:prstGeom prst="bentConnector3">
          <a:avLst>
            <a:gd name="adj1" fmla="val 118908"/>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701</xdr:colOff>
      <xdr:row>13</xdr:row>
      <xdr:rowOff>177856</xdr:rowOff>
    </xdr:from>
    <xdr:to>
      <xdr:col>29</xdr:col>
      <xdr:colOff>85538</xdr:colOff>
      <xdr:row>37</xdr:row>
      <xdr:rowOff>3</xdr:rowOff>
    </xdr:to>
    <xdr:cxnSp macro="">
      <xdr:nvCxnSpPr>
        <xdr:cNvPr id="453" name="CO2_FromReductionToWaste">
          <a:extLst>
            <a:ext uri="{FF2B5EF4-FFF2-40B4-BE49-F238E27FC236}">
              <a16:creationId xmlns:a16="http://schemas.microsoft.com/office/drawing/2014/main" id="{00000000-0008-0000-0500-0000C5010000}"/>
            </a:ext>
          </a:extLst>
        </xdr:cNvPr>
        <xdr:cNvCxnSpPr>
          <a:cxnSpLocks/>
          <a:stCxn id="14" idx="9"/>
        </xdr:cNvCxnSpPr>
      </xdr:nvCxnSpPr>
      <xdr:spPr>
        <a:xfrm flipH="1">
          <a:off x="9055801" y="2641656"/>
          <a:ext cx="2447037" cy="4394147"/>
        </a:xfrm>
        <a:prstGeom prst="bentConnector4">
          <a:avLst>
            <a:gd name="adj1" fmla="val -14532"/>
            <a:gd name="adj2" fmla="val 100164"/>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0</xdr:colOff>
      <xdr:row>35</xdr:row>
      <xdr:rowOff>8965</xdr:rowOff>
    </xdr:from>
    <xdr:to>
      <xdr:col>23</xdr:col>
      <xdr:colOff>700</xdr:colOff>
      <xdr:row>39</xdr:row>
      <xdr:rowOff>0</xdr:rowOff>
    </xdr:to>
    <xdr:sp macro="" textlink="">
      <xdr:nvSpPr>
        <xdr:cNvPr id="500" name="WasteStorage">
          <a:extLst>
            <a:ext uri="{FF2B5EF4-FFF2-40B4-BE49-F238E27FC236}">
              <a16:creationId xmlns:a16="http://schemas.microsoft.com/office/drawing/2014/main" id="{00000000-0008-0000-0500-0000F4010000}"/>
            </a:ext>
          </a:extLst>
        </xdr:cNvPr>
        <xdr:cNvSpPr txBox="1"/>
      </xdr:nvSpPr>
      <xdr:spPr>
        <a:xfrm>
          <a:off x="7086600" y="6663765"/>
          <a:ext cx="1969200" cy="753035"/>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Waste Storage</a:t>
          </a:r>
        </a:p>
      </xdr:txBody>
    </xdr:sp>
    <xdr:clientData/>
  </xdr:twoCellAnchor>
  <xdr:twoCellAnchor editAs="oneCell">
    <xdr:from>
      <xdr:col>9</xdr:col>
      <xdr:colOff>380673</xdr:colOff>
      <xdr:row>24</xdr:row>
      <xdr:rowOff>0</xdr:rowOff>
    </xdr:from>
    <xdr:to>
      <xdr:col>14</xdr:col>
      <xdr:colOff>381373</xdr:colOff>
      <xdr:row>27</xdr:row>
      <xdr:rowOff>900</xdr:rowOff>
    </xdr:to>
    <xdr:sp macro="" textlink="">
      <xdr:nvSpPr>
        <xdr:cNvPr id="503" name="Crew">
          <a:extLst>
            <a:ext uri="{FF2B5EF4-FFF2-40B4-BE49-F238E27FC236}">
              <a16:creationId xmlns:a16="http://schemas.microsoft.com/office/drawing/2014/main" id="{00000000-0008-0000-0500-0000F7010000}"/>
            </a:ext>
          </a:extLst>
        </xdr:cNvPr>
        <xdr:cNvSpPr txBox="1"/>
      </xdr:nvSpPr>
      <xdr:spPr>
        <a:xfrm>
          <a:off x="3923973" y="4559300"/>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Crew</a:t>
          </a:r>
        </a:p>
      </xdr:txBody>
    </xdr:sp>
    <xdr:clientData/>
  </xdr:twoCellAnchor>
  <xdr:twoCellAnchor editAs="oneCell">
    <xdr:from>
      <xdr:col>14</xdr:col>
      <xdr:colOff>381373</xdr:colOff>
      <xdr:row>26</xdr:row>
      <xdr:rowOff>189028</xdr:rowOff>
    </xdr:from>
    <xdr:to>
      <xdr:col>18</xdr:col>
      <xdr:colOff>338</xdr:colOff>
      <xdr:row>36</xdr:row>
      <xdr:rowOff>65731</xdr:rowOff>
    </xdr:to>
    <xdr:cxnSp macro="">
      <xdr:nvCxnSpPr>
        <xdr:cNvPr id="519" name="CrewFeces">
          <a:extLst>
            <a:ext uri="{FF2B5EF4-FFF2-40B4-BE49-F238E27FC236}">
              <a16:creationId xmlns:a16="http://schemas.microsoft.com/office/drawing/2014/main" id="{00000000-0008-0000-0500-000007020000}"/>
            </a:ext>
          </a:extLst>
        </xdr:cNvPr>
        <xdr:cNvCxnSpPr>
          <a:cxnSpLocks/>
          <a:stCxn id="503" idx="10"/>
          <a:endCxn id="500" idx="19"/>
        </xdr:cNvCxnSpPr>
      </xdr:nvCxnSpPr>
      <xdr:spPr>
        <a:xfrm>
          <a:off x="5893173" y="5129328"/>
          <a:ext cx="1193765" cy="1781703"/>
        </a:xfrm>
        <a:prstGeom prst="bentConnector3">
          <a:avLst>
            <a:gd name="adj1" fmla="val 68115"/>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18</xdr:col>
          <xdr:colOff>38100</xdr:colOff>
          <xdr:row>19</xdr:row>
          <xdr:rowOff>47625</xdr:rowOff>
        </xdr:from>
        <xdr:to>
          <xdr:col>23</xdr:col>
          <xdr:colOff>76200</xdr:colOff>
          <xdr:row>20</xdr:row>
          <xdr:rowOff>152400</xdr:rowOff>
        </xdr:to>
        <xdr:sp macro="" textlink="">
          <xdr:nvSpPr>
            <xdr:cNvPr id="200982" name="ElectrolysisList" hidden="1">
              <a:extLst>
                <a:ext uri="{63B3BB69-23CF-44E3-9099-C40C66FF867C}">
                  <a14:compatExt spid="_x0000_s200982"/>
                </a:ext>
                <a:ext uri="{FF2B5EF4-FFF2-40B4-BE49-F238E27FC236}">
                  <a16:creationId xmlns:a16="http://schemas.microsoft.com/office/drawing/2014/main" id="{00000000-0008-0000-0300-000016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31</xdr:row>
          <xdr:rowOff>47625</xdr:rowOff>
        </xdr:from>
        <xdr:to>
          <xdr:col>15</xdr:col>
          <xdr:colOff>76200</xdr:colOff>
          <xdr:row>32</xdr:row>
          <xdr:rowOff>152400</xdr:rowOff>
        </xdr:to>
        <xdr:sp macro="" textlink="">
          <xdr:nvSpPr>
            <xdr:cNvPr id="200983" name="UrineProcessingList" hidden="1">
              <a:extLst>
                <a:ext uri="{63B3BB69-23CF-44E3-9099-C40C66FF867C}">
                  <a14:compatExt spid="_x0000_s200983"/>
                </a:ext>
                <a:ext uri="{FF2B5EF4-FFF2-40B4-BE49-F238E27FC236}">
                  <a16:creationId xmlns:a16="http://schemas.microsoft.com/office/drawing/2014/main" id="{00000000-0008-0000-0300-000017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36</xdr:row>
          <xdr:rowOff>161925</xdr:rowOff>
        </xdr:from>
        <xdr:to>
          <xdr:col>15</xdr:col>
          <xdr:colOff>76200</xdr:colOff>
          <xdr:row>38</xdr:row>
          <xdr:rowOff>76200</xdr:rowOff>
        </xdr:to>
        <xdr:sp macro="" textlink="">
          <xdr:nvSpPr>
            <xdr:cNvPr id="200984" name="BrineProcessingList" hidden="1">
              <a:extLst>
                <a:ext uri="{63B3BB69-23CF-44E3-9099-C40C66FF867C}">
                  <a14:compatExt spid="_x0000_s200984"/>
                </a:ext>
                <a:ext uri="{FF2B5EF4-FFF2-40B4-BE49-F238E27FC236}">
                  <a16:creationId xmlns:a16="http://schemas.microsoft.com/office/drawing/2014/main" id="{00000000-0008-0000-0300-000018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380672</xdr:colOff>
      <xdr:row>17</xdr:row>
      <xdr:rowOff>182082</xdr:rowOff>
    </xdr:from>
    <xdr:to>
      <xdr:col>9</xdr:col>
      <xdr:colOff>380673</xdr:colOff>
      <xdr:row>37</xdr:row>
      <xdr:rowOff>6801</xdr:rowOff>
    </xdr:to>
    <xdr:cxnSp macro="">
      <xdr:nvCxnSpPr>
        <xdr:cNvPr id="541" name="BrineProcToCabin">
          <a:extLst>
            <a:ext uri="{FF2B5EF4-FFF2-40B4-BE49-F238E27FC236}">
              <a16:creationId xmlns:a16="http://schemas.microsoft.com/office/drawing/2014/main" id="{00000000-0008-0000-0500-00001D020000}"/>
            </a:ext>
          </a:extLst>
        </xdr:cNvPr>
        <xdr:cNvCxnSpPr>
          <a:stCxn id="298" idx="1"/>
          <a:endCxn id="225" idx="8"/>
        </xdr:cNvCxnSpPr>
      </xdr:nvCxnSpPr>
      <xdr:spPr>
        <a:xfrm rot="10800000" flipH="1">
          <a:off x="3923972" y="3407882"/>
          <a:ext cx="1" cy="3634719"/>
        </a:xfrm>
        <a:prstGeom prst="bentConnector5">
          <a:avLst>
            <a:gd name="adj1" fmla="val -22860000000"/>
            <a:gd name="adj2" fmla="val 99931"/>
            <a:gd name="adj3" fmla="val 2147483646"/>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18</xdr:col>
          <xdr:colOff>38100</xdr:colOff>
          <xdr:row>31</xdr:row>
          <xdr:rowOff>47625</xdr:rowOff>
        </xdr:from>
        <xdr:to>
          <xdr:col>23</xdr:col>
          <xdr:colOff>76200</xdr:colOff>
          <xdr:row>32</xdr:row>
          <xdr:rowOff>152400</xdr:rowOff>
        </xdr:to>
        <xdr:sp macro="" textlink="">
          <xdr:nvSpPr>
            <xdr:cNvPr id="200985" name="WWFiltrationList" hidden="1">
              <a:extLst>
                <a:ext uri="{63B3BB69-23CF-44E3-9099-C40C66FF867C}">
                  <a14:compatExt spid="_x0000_s200985"/>
                </a:ext>
                <a:ext uri="{FF2B5EF4-FFF2-40B4-BE49-F238E27FC236}">
                  <a16:creationId xmlns:a16="http://schemas.microsoft.com/office/drawing/2014/main" id="{00000000-0008-0000-0300-000019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314325</xdr:colOff>
          <xdr:row>31</xdr:row>
          <xdr:rowOff>47625</xdr:rowOff>
        </xdr:from>
        <xdr:to>
          <xdr:col>29</xdr:col>
          <xdr:colOff>352425</xdr:colOff>
          <xdr:row>32</xdr:row>
          <xdr:rowOff>152400</xdr:rowOff>
        </xdr:to>
        <xdr:sp macro="" textlink="">
          <xdr:nvSpPr>
            <xdr:cNvPr id="200986" name="ISRUList" hidden="1">
              <a:extLst>
                <a:ext uri="{63B3BB69-23CF-44E3-9099-C40C66FF867C}">
                  <a14:compatExt spid="_x0000_s200986"/>
                </a:ext>
                <a:ext uri="{FF2B5EF4-FFF2-40B4-BE49-F238E27FC236}">
                  <a16:creationId xmlns:a16="http://schemas.microsoft.com/office/drawing/2014/main" id="{00000000-0008-0000-0300-00001A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13</xdr:row>
          <xdr:rowOff>28575</xdr:rowOff>
        </xdr:from>
        <xdr:to>
          <xdr:col>23</xdr:col>
          <xdr:colOff>76200</xdr:colOff>
          <xdr:row>14</xdr:row>
          <xdr:rowOff>133350</xdr:rowOff>
        </xdr:to>
        <xdr:sp macro="" textlink="">
          <xdr:nvSpPr>
            <xdr:cNvPr id="200987" name="O2StorageList" hidden="1">
              <a:extLst>
                <a:ext uri="{63B3BB69-23CF-44E3-9099-C40C66FF867C}">
                  <a14:compatExt spid="_x0000_s200987"/>
                </a:ext>
                <a:ext uri="{FF2B5EF4-FFF2-40B4-BE49-F238E27FC236}">
                  <a16:creationId xmlns:a16="http://schemas.microsoft.com/office/drawing/2014/main" id="{00000000-0008-0000-0300-00001B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123825</xdr:colOff>
          <xdr:row>19</xdr:row>
          <xdr:rowOff>47625</xdr:rowOff>
        </xdr:from>
        <xdr:to>
          <xdr:col>29</xdr:col>
          <xdr:colOff>161925</xdr:colOff>
          <xdr:row>20</xdr:row>
          <xdr:rowOff>152400</xdr:rowOff>
        </xdr:to>
        <xdr:sp macro="" textlink="">
          <xdr:nvSpPr>
            <xdr:cNvPr id="200988" name="H2StorageList" hidden="1">
              <a:extLst>
                <a:ext uri="{63B3BB69-23CF-44E3-9099-C40C66FF867C}">
                  <a14:compatExt spid="_x0000_s200988"/>
                </a:ext>
                <a:ext uri="{FF2B5EF4-FFF2-40B4-BE49-F238E27FC236}">
                  <a16:creationId xmlns:a16="http://schemas.microsoft.com/office/drawing/2014/main" id="{00000000-0008-0000-0300-00001C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22</xdr:col>
      <xdr:colOff>392162</xdr:colOff>
      <xdr:row>7</xdr:row>
      <xdr:rowOff>84494</xdr:rowOff>
    </xdr:from>
    <xdr:to>
      <xdr:col>26</xdr:col>
      <xdr:colOff>213700</xdr:colOff>
      <xdr:row>7</xdr:row>
      <xdr:rowOff>91121</xdr:rowOff>
    </xdr:to>
    <xdr:cxnSp macro="">
      <xdr:nvCxnSpPr>
        <xdr:cNvPr id="552" name="CO2RemovalToCross">
          <a:extLst>
            <a:ext uri="{FF2B5EF4-FFF2-40B4-BE49-F238E27FC236}">
              <a16:creationId xmlns:a16="http://schemas.microsoft.com/office/drawing/2014/main" id="{00000000-0008-0000-0500-000028020000}"/>
            </a:ext>
          </a:extLst>
        </xdr:cNvPr>
        <xdr:cNvCxnSpPr>
          <a:stCxn id="56" idx="3"/>
          <a:endCxn id="3" idx="2"/>
        </xdr:cNvCxnSpPr>
      </xdr:nvCxnSpPr>
      <xdr:spPr>
        <a:xfrm>
          <a:off x="9053562" y="1405294"/>
          <a:ext cx="1396338" cy="6627"/>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290574</xdr:colOff>
      <xdr:row>7</xdr:row>
      <xdr:rowOff>182242</xdr:rowOff>
    </xdr:from>
    <xdr:to>
      <xdr:col>26</xdr:col>
      <xdr:colOff>303700</xdr:colOff>
      <xdr:row>11</xdr:row>
      <xdr:rowOff>178679</xdr:rowOff>
    </xdr:to>
    <xdr:cxnSp macro="">
      <xdr:nvCxnSpPr>
        <xdr:cNvPr id="560" name="CO2_ToReduction">
          <a:extLst>
            <a:ext uri="{FF2B5EF4-FFF2-40B4-BE49-F238E27FC236}">
              <a16:creationId xmlns:a16="http://schemas.microsoft.com/office/drawing/2014/main" id="{00000000-0008-0000-0500-000030020000}"/>
            </a:ext>
          </a:extLst>
        </xdr:cNvPr>
        <xdr:cNvCxnSpPr>
          <a:stCxn id="3" idx="4"/>
          <a:endCxn id="14" idx="3"/>
        </xdr:cNvCxnSpPr>
      </xdr:nvCxnSpPr>
      <xdr:spPr>
        <a:xfrm flipH="1">
          <a:off x="10526774" y="1503042"/>
          <a:ext cx="13126" cy="758437"/>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27</xdr:col>
      <xdr:colOff>0</xdr:colOff>
      <xdr:row>7</xdr:row>
      <xdr:rowOff>91121</xdr:rowOff>
    </xdr:from>
    <xdr:to>
      <xdr:col>31</xdr:col>
      <xdr:colOff>0</xdr:colOff>
      <xdr:row>7</xdr:row>
      <xdr:rowOff>102825</xdr:rowOff>
    </xdr:to>
    <xdr:cxnSp macro="">
      <xdr:nvCxnSpPr>
        <xdr:cNvPr id="563" name="CO2ToVent">
          <a:extLst>
            <a:ext uri="{FF2B5EF4-FFF2-40B4-BE49-F238E27FC236}">
              <a16:creationId xmlns:a16="http://schemas.microsoft.com/office/drawing/2014/main" id="{00000000-0008-0000-0500-000033020000}"/>
            </a:ext>
          </a:extLst>
        </xdr:cNvPr>
        <xdr:cNvCxnSpPr>
          <a:cxnSpLocks/>
          <a:stCxn id="3" idx="6"/>
          <a:endCxn id="584" idx="2"/>
        </xdr:cNvCxnSpPr>
      </xdr:nvCxnSpPr>
      <xdr:spPr>
        <a:xfrm>
          <a:off x="10629900" y="1411921"/>
          <a:ext cx="1574800" cy="11704"/>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85538</xdr:colOff>
      <xdr:row>7</xdr:row>
      <xdr:rowOff>102825</xdr:rowOff>
    </xdr:from>
    <xdr:to>
      <xdr:col>32</xdr:col>
      <xdr:colOff>347218</xdr:colOff>
      <xdr:row>19</xdr:row>
      <xdr:rowOff>82856</xdr:rowOff>
    </xdr:to>
    <xdr:cxnSp macro="">
      <xdr:nvCxnSpPr>
        <xdr:cNvPr id="378" name="H2_ToVent" hidden="1">
          <a:extLst>
            <a:ext uri="{FF2B5EF4-FFF2-40B4-BE49-F238E27FC236}">
              <a16:creationId xmlns:a16="http://schemas.microsoft.com/office/drawing/2014/main" id="{00000000-0008-0000-0500-00007A010000}"/>
            </a:ext>
          </a:extLst>
        </xdr:cNvPr>
        <xdr:cNvCxnSpPr>
          <a:stCxn id="72" idx="3"/>
          <a:endCxn id="584" idx="6"/>
        </xdr:cNvCxnSpPr>
      </xdr:nvCxnSpPr>
      <xdr:spPr>
        <a:xfrm flipV="1">
          <a:off x="11502838" y="1423625"/>
          <a:ext cx="1442780" cy="2266031"/>
        </a:xfrm>
        <a:prstGeom prst="bentConnector3">
          <a:avLst>
            <a:gd name="adj1" fmla="val 206509"/>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31</xdr:col>
      <xdr:colOff>0</xdr:colOff>
      <xdr:row>5</xdr:row>
      <xdr:rowOff>123825</xdr:rowOff>
    </xdr:from>
    <xdr:to>
      <xdr:col>32</xdr:col>
      <xdr:colOff>347218</xdr:colOff>
      <xdr:row>9</xdr:row>
      <xdr:rowOff>81825</xdr:rowOff>
    </xdr:to>
    <xdr:sp macro="" textlink="">
      <xdr:nvSpPr>
        <xdr:cNvPr id="584" name="SpaceVac">
          <a:extLst>
            <a:ext uri="{FF2B5EF4-FFF2-40B4-BE49-F238E27FC236}">
              <a16:creationId xmlns:a16="http://schemas.microsoft.com/office/drawing/2014/main" id="{00000000-0008-0000-0500-000048020000}"/>
            </a:ext>
          </a:extLst>
        </xdr:cNvPr>
        <xdr:cNvSpPr>
          <a:spLocks/>
        </xdr:cNvSpPr>
      </xdr:nvSpPr>
      <xdr:spPr>
        <a:xfrm>
          <a:off x="12204700" y="1063625"/>
          <a:ext cx="740918" cy="720000"/>
        </a:xfrm>
        <a:prstGeom prst="ellipse">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solidFill>
            </a:rPr>
            <a:t>Vent</a:t>
          </a:r>
        </a:p>
      </xdr:txBody>
    </xdr:sp>
    <xdr:clientData/>
  </xdr:twoCellAnchor>
  <xdr:twoCellAnchor editAs="oneCell">
    <xdr:from>
      <xdr:col>12</xdr:col>
      <xdr:colOff>184174</xdr:colOff>
      <xdr:row>5</xdr:row>
      <xdr:rowOff>123825</xdr:rowOff>
    </xdr:from>
    <xdr:to>
      <xdr:col>31</xdr:col>
      <xdr:colOff>370460</xdr:colOff>
      <xdr:row>5</xdr:row>
      <xdr:rowOff>179294</xdr:rowOff>
    </xdr:to>
    <xdr:cxnSp macro="">
      <xdr:nvCxnSpPr>
        <xdr:cNvPr id="63" name="HumControlToVent">
          <a:extLst>
            <a:ext uri="{FF2B5EF4-FFF2-40B4-BE49-F238E27FC236}">
              <a16:creationId xmlns:a16="http://schemas.microsoft.com/office/drawing/2014/main" id="{00000000-0008-0000-0500-00003F000000}"/>
            </a:ext>
          </a:extLst>
        </xdr:cNvPr>
        <xdr:cNvCxnSpPr>
          <a:stCxn id="199" idx="0"/>
          <a:endCxn id="584" idx="0"/>
        </xdr:cNvCxnSpPr>
      </xdr:nvCxnSpPr>
      <xdr:spPr>
        <a:xfrm rot="5400000" flipH="1" flipV="1">
          <a:off x="8714132" y="-2741933"/>
          <a:ext cx="55469" cy="7666586"/>
        </a:xfrm>
        <a:prstGeom prst="bentConnector3">
          <a:avLst>
            <a:gd name="adj1" fmla="val 512122"/>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0</xdr:colOff>
      <xdr:row>40</xdr:row>
      <xdr:rowOff>100260</xdr:rowOff>
    </xdr:from>
    <xdr:to>
      <xdr:col>27</xdr:col>
      <xdr:colOff>0</xdr:colOff>
      <xdr:row>40</xdr:row>
      <xdr:rowOff>100260</xdr:rowOff>
    </xdr:to>
    <xdr:cxnSp macro="">
      <xdr:nvCxnSpPr>
        <xdr:cNvPr id="66" name="H2O_LegendArrow">
          <a:extLst>
            <a:ext uri="{FF2B5EF4-FFF2-40B4-BE49-F238E27FC236}">
              <a16:creationId xmlns:a16="http://schemas.microsoft.com/office/drawing/2014/main" id="{00000000-0008-0000-0500-000042000000}"/>
            </a:ext>
          </a:extLst>
        </xdr:cNvPr>
        <xdr:cNvCxnSpPr>
          <a:cxnSpLocks/>
        </xdr:cNvCxnSpPr>
      </xdr:nvCxnSpPr>
      <xdr:spPr>
        <a:xfrm>
          <a:off x="8382000" y="7148760"/>
          <a:ext cx="381000" cy="0"/>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0</xdr:colOff>
      <xdr:row>41</xdr:row>
      <xdr:rowOff>100260</xdr:rowOff>
    </xdr:from>
    <xdr:to>
      <xdr:col>27</xdr:col>
      <xdr:colOff>0</xdr:colOff>
      <xdr:row>41</xdr:row>
      <xdr:rowOff>100260</xdr:rowOff>
    </xdr:to>
    <xdr:cxnSp macro="">
      <xdr:nvCxnSpPr>
        <xdr:cNvPr id="69" name="CO2_LegendArrow">
          <a:extLst>
            <a:ext uri="{FF2B5EF4-FFF2-40B4-BE49-F238E27FC236}">
              <a16:creationId xmlns:a16="http://schemas.microsoft.com/office/drawing/2014/main" id="{00000000-0008-0000-0500-000045000000}"/>
            </a:ext>
          </a:extLst>
        </xdr:cNvPr>
        <xdr:cNvCxnSpPr>
          <a:cxnSpLocks/>
        </xdr:cNvCxnSpPr>
      </xdr:nvCxnSpPr>
      <xdr:spPr>
        <a:xfrm>
          <a:off x="8382000" y="7339260"/>
          <a:ext cx="381000" cy="0"/>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0</xdr:colOff>
      <xdr:row>42</xdr:row>
      <xdr:rowOff>105273</xdr:rowOff>
    </xdr:from>
    <xdr:to>
      <xdr:col>27</xdr:col>
      <xdr:colOff>0</xdr:colOff>
      <xdr:row>42</xdr:row>
      <xdr:rowOff>105273</xdr:rowOff>
    </xdr:to>
    <xdr:cxnSp macro="">
      <xdr:nvCxnSpPr>
        <xdr:cNvPr id="70" name="O2_LegendArrow">
          <a:extLst>
            <a:ext uri="{FF2B5EF4-FFF2-40B4-BE49-F238E27FC236}">
              <a16:creationId xmlns:a16="http://schemas.microsoft.com/office/drawing/2014/main" id="{00000000-0008-0000-0500-000046000000}"/>
            </a:ext>
          </a:extLst>
        </xdr:cNvPr>
        <xdr:cNvCxnSpPr>
          <a:cxnSpLocks/>
        </xdr:cNvCxnSpPr>
      </xdr:nvCxnSpPr>
      <xdr:spPr>
        <a:xfrm>
          <a:off x="8382000" y="7534773"/>
          <a:ext cx="381000" cy="0"/>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0</xdr:colOff>
      <xdr:row>40</xdr:row>
      <xdr:rowOff>100260</xdr:rowOff>
    </xdr:from>
    <xdr:to>
      <xdr:col>30</xdr:col>
      <xdr:colOff>0</xdr:colOff>
      <xdr:row>40</xdr:row>
      <xdr:rowOff>100261</xdr:rowOff>
    </xdr:to>
    <xdr:cxnSp macro="">
      <xdr:nvCxnSpPr>
        <xdr:cNvPr id="71" name="WasteWater_LegendArrow">
          <a:extLst>
            <a:ext uri="{FF2B5EF4-FFF2-40B4-BE49-F238E27FC236}">
              <a16:creationId xmlns:a16="http://schemas.microsoft.com/office/drawing/2014/main" id="{00000000-0008-0000-0500-000047000000}"/>
            </a:ext>
          </a:extLst>
        </xdr:cNvPr>
        <xdr:cNvCxnSpPr>
          <a:cxnSpLocks/>
        </xdr:cNvCxnSpPr>
      </xdr:nvCxnSpPr>
      <xdr:spPr>
        <a:xfrm flipV="1">
          <a:off x="9525000" y="7148760"/>
          <a:ext cx="381000" cy="1"/>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0</xdr:colOff>
      <xdr:row>41</xdr:row>
      <xdr:rowOff>100260</xdr:rowOff>
    </xdr:from>
    <xdr:to>
      <xdr:col>30</xdr:col>
      <xdr:colOff>0</xdr:colOff>
      <xdr:row>41</xdr:row>
      <xdr:rowOff>100260</xdr:rowOff>
    </xdr:to>
    <xdr:cxnSp macro="">
      <xdr:nvCxnSpPr>
        <xdr:cNvPr id="74" name="H2_LegendArrow">
          <a:extLst>
            <a:ext uri="{FF2B5EF4-FFF2-40B4-BE49-F238E27FC236}">
              <a16:creationId xmlns:a16="http://schemas.microsoft.com/office/drawing/2014/main" id="{00000000-0008-0000-0500-00004A000000}"/>
            </a:ext>
          </a:extLst>
        </xdr:cNvPr>
        <xdr:cNvCxnSpPr>
          <a:cxnSpLocks/>
        </xdr:cNvCxnSpPr>
      </xdr:nvCxnSpPr>
      <xdr:spPr>
        <a:xfrm>
          <a:off x="9525000" y="7339260"/>
          <a:ext cx="381000" cy="0"/>
        </a:xfrm>
        <a:prstGeom prst="straightConnector1">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0</xdr:colOff>
      <xdr:row>42</xdr:row>
      <xdr:rowOff>100260</xdr:rowOff>
    </xdr:from>
    <xdr:to>
      <xdr:col>30</xdr:col>
      <xdr:colOff>0</xdr:colOff>
      <xdr:row>42</xdr:row>
      <xdr:rowOff>100260</xdr:rowOff>
    </xdr:to>
    <xdr:cxnSp macro="">
      <xdr:nvCxnSpPr>
        <xdr:cNvPr id="76" name="Air_LegendArrow">
          <a:extLst>
            <a:ext uri="{FF2B5EF4-FFF2-40B4-BE49-F238E27FC236}">
              <a16:creationId xmlns:a16="http://schemas.microsoft.com/office/drawing/2014/main" id="{00000000-0008-0000-0500-00004C000000}"/>
            </a:ext>
          </a:extLst>
        </xdr:cNvPr>
        <xdr:cNvCxnSpPr>
          <a:cxnSpLocks/>
        </xdr:cNvCxnSpPr>
      </xdr:nvCxnSpPr>
      <xdr:spPr>
        <a:xfrm>
          <a:off x="9525000" y="7529760"/>
          <a:ext cx="381000" cy="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33</xdr:col>
      <xdr:colOff>0</xdr:colOff>
      <xdr:row>40</xdr:row>
      <xdr:rowOff>100260</xdr:rowOff>
    </xdr:from>
    <xdr:to>
      <xdr:col>34</xdr:col>
      <xdr:colOff>0</xdr:colOff>
      <xdr:row>40</xdr:row>
      <xdr:rowOff>100260</xdr:rowOff>
    </xdr:to>
    <xdr:cxnSp macro="">
      <xdr:nvCxnSpPr>
        <xdr:cNvPr id="77" name="Misc_LegendArrow">
          <a:extLst>
            <a:ext uri="{FF2B5EF4-FFF2-40B4-BE49-F238E27FC236}">
              <a16:creationId xmlns:a16="http://schemas.microsoft.com/office/drawing/2014/main" id="{00000000-0008-0000-0500-00004D000000}"/>
            </a:ext>
          </a:extLst>
        </xdr:cNvPr>
        <xdr:cNvCxnSpPr>
          <a:cxnSpLocks/>
        </xdr:cNvCxnSpPr>
      </xdr:nvCxnSpPr>
      <xdr:spPr>
        <a:xfrm>
          <a:off x="11049000" y="7148760"/>
          <a:ext cx="381000" cy="0"/>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85538</xdr:colOff>
      <xdr:row>9</xdr:row>
      <xdr:rowOff>81825</xdr:rowOff>
    </xdr:from>
    <xdr:to>
      <xdr:col>31</xdr:col>
      <xdr:colOff>370459</xdr:colOff>
      <xdr:row>12</xdr:row>
      <xdr:rowOff>178505</xdr:rowOff>
    </xdr:to>
    <xdr:cxnSp macro="">
      <xdr:nvCxnSpPr>
        <xdr:cNvPr id="26" name="CO2_FromReductionToVent" hidden="1">
          <a:extLst>
            <a:ext uri="{FF2B5EF4-FFF2-40B4-BE49-F238E27FC236}">
              <a16:creationId xmlns:a16="http://schemas.microsoft.com/office/drawing/2014/main" id="{00000000-0008-0000-0500-00001A000000}"/>
            </a:ext>
          </a:extLst>
        </xdr:cNvPr>
        <xdr:cNvCxnSpPr>
          <a:cxnSpLocks/>
          <a:stCxn id="14" idx="7"/>
          <a:endCxn id="584" idx="4"/>
        </xdr:cNvCxnSpPr>
      </xdr:nvCxnSpPr>
      <xdr:spPr>
        <a:xfrm flipV="1">
          <a:off x="11502838" y="1783625"/>
          <a:ext cx="1072321" cy="668180"/>
        </a:xfrm>
        <a:prstGeom prst="bentConnector2">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25</xdr:row>
      <xdr:rowOff>189677</xdr:rowOff>
    </xdr:from>
    <xdr:to>
      <xdr:col>18</xdr:col>
      <xdr:colOff>339</xdr:colOff>
      <xdr:row>31</xdr:row>
      <xdr:rowOff>95700</xdr:rowOff>
    </xdr:to>
    <xdr:cxnSp macro="">
      <xdr:nvCxnSpPr>
        <xdr:cNvPr id="29" name="H2O_FromUrineProcessing" hidden="1">
          <a:extLst>
            <a:ext uri="{FF2B5EF4-FFF2-40B4-BE49-F238E27FC236}">
              <a16:creationId xmlns:a16="http://schemas.microsoft.com/office/drawing/2014/main" id="{00000000-0008-0000-0500-00001D000000}"/>
            </a:ext>
          </a:extLst>
        </xdr:cNvPr>
        <xdr:cNvCxnSpPr>
          <a:stCxn id="52" idx="3"/>
          <a:endCxn id="136" idx="17"/>
        </xdr:cNvCxnSpPr>
      </xdr:nvCxnSpPr>
      <xdr:spPr>
        <a:xfrm flipV="1">
          <a:off x="5893173" y="4939477"/>
          <a:ext cx="1193766" cy="1049023"/>
        </a:xfrm>
        <a:prstGeom prst="bentConnector3">
          <a:avLst>
            <a:gd name="adj1" fmla="val 87264"/>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358588</xdr:colOff>
      <xdr:row>11</xdr:row>
      <xdr:rowOff>179294</xdr:rowOff>
    </xdr:from>
    <xdr:to>
      <xdr:col>6</xdr:col>
      <xdr:colOff>359288</xdr:colOff>
      <xdr:row>17</xdr:row>
      <xdr:rowOff>179294</xdr:rowOff>
    </xdr:to>
    <xdr:sp macro="" textlink="">
      <xdr:nvSpPr>
        <xdr:cNvPr id="112" name="HumidityControl">
          <a:extLst>
            <a:ext uri="{FF2B5EF4-FFF2-40B4-BE49-F238E27FC236}">
              <a16:creationId xmlns:a16="http://schemas.microsoft.com/office/drawing/2014/main" id="{00000000-0008-0000-0500-000070000000}"/>
            </a:ext>
          </a:extLst>
        </xdr:cNvPr>
        <xdr:cNvSpPr txBox="1"/>
      </xdr:nvSpPr>
      <xdr:spPr>
        <a:xfrm>
          <a:off x="752288" y="2262094"/>
          <a:ext cx="1969200" cy="11430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Plant Growth Chamber</a:t>
          </a:r>
        </a:p>
      </xdr:txBody>
    </xdr:sp>
    <xdr:clientData/>
  </xdr:twoCellAnchor>
  <xdr:twoCellAnchor editAs="oneCell">
    <xdr:from>
      <xdr:col>7</xdr:col>
      <xdr:colOff>0</xdr:colOff>
      <xdr:row>13</xdr:row>
      <xdr:rowOff>0</xdr:rowOff>
    </xdr:from>
    <xdr:to>
      <xdr:col>10</xdr:col>
      <xdr:colOff>0</xdr:colOff>
      <xdr:row>13</xdr:row>
      <xdr:rowOff>0</xdr:rowOff>
    </xdr:to>
    <xdr:cxnSp macro="">
      <xdr:nvCxnSpPr>
        <xdr:cNvPr id="117" name="CO2_ToPlants" hidden="1">
          <a:extLst>
            <a:ext uri="{FF2B5EF4-FFF2-40B4-BE49-F238E27FC236}">
              <a16:creationId xmlns:a16="http://schemas.microsoft.com/office/drawing/2014/main" id="{00000000-0008-0000-0500-000075000000}"/>
            </a:ext>
          </a:extLst>
        </xdr:cNvPr>
        <xdr:cNvCxnSpPr>
          <a:cxnSpLocks/>
        </xdr:cNvCxnSpPr>
      </xdr:nvCxnSpPr>
      <xdr:spPr>
        <a:xfrm flipH="1">
          <a:off x="2667000" y="1905000"/>
          <a:ext cx="1143000" cy="0"/>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0</xdr:colOff>
      <xdr:row>16</xdr:row>
      <xdr:rowOff>183696</xdr:rowOff>
    </xdr:from>
    <xdr:to>
      <xdr:col>10</xdr:col>
      <xdr:colOff>0</xdr:colOff>
      <xdr:row>17</xdr:row>
      <xdr:rowOff>0</xdr:rowOff>
    </xdr:to>
    <xdr:cxnSp macro="">
      <xdr:nvCxnSpPr>
        <xdr:cNvPr id="120" name="O2_FromPlants" hidden="1">
          <a:extLst>
            <a:ext uri="{FF2B5EF4-FFF2-40B4-BE49-F238E27FC236}">
              <a16:creationId xmlns:a16="http://schemas.microsoft.com/office/drawing/2014/main" id="{00000000-0008-0000-0500-000078000000}"/>
            </a:ext>
          </a:extLst>
        </xdr:cNvPr>
        <xdr:cNvCxnSpPr>
          <a:cxnSpLocks/>
        </xdr:cNvCxnSpPr>
      </xdr:nvCxnSpPr>
      <xdr:spPr>
        <a:xfrm flipV="1">
          <a:off x="2667000" y="2660196"/>
          <a:ext cx="1143000" cy="6804"/>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359288</xdr:colOff>
      <xdr:row>14</xdr:row>
      <xdr:rowOff>171875</xdr:rowOff>
    </xdr:from>
    <xdr:to>
      <xdr:col>9</xdr:col>
      <xdr:colOff>380674</xdr:colOff>
      <xdr:row>14</xdr:row>
      <xdr:rowOff>179294</xdr:rowOff>
    </xdr:to>
    <xdr:cxnSp macro="">
      <xdr:nvCxnSpPr>
        <xdr:cNvPr id="123" name="H2O_FromPlants" hidden="1">
          <a:extLst>
            <a:ext uri="{FF2B5EF4-FFF2-40B4-BE49-F238E27FC236}">
              <a16:creationId xmlns:a16="http://schemas.microsoft.com/office/drawing/2014/main" id="{00000000-0008-0000-0500-00007B000000}"/>
            </a:ext>
          </a:extLst>
        </xdr:cNvPr>
        <xdr:cNvCxnSpPr>
          <a:cxnSpLocks/>
          <a:stCxn id="112" idx="3"/>
          <a:endCxn id="225" idx="12"/>
        </xdr:cNvCxnSpPr>
      </xdr:nvCxnSpPr>
      <xdr:spPr>
        <a:xfrm flipV="1">
          <a:off x="2721488" y="2826175"/>
          <a:ext cx="1202486" cy="7419"/>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0</xdr:colOff>
      <xdr:row>18</xdr:row>
      <xdr:rowOff>0</xdr:rowOff>
    </xdr:from>
    <xdr:to>
      <xdr:col>6</xdr:col>
      <xdr:colOff>0</xdr:colOff>
      <xdr:row>24</xdr:row>
      <xdr:rowOff>0</xdr:rowOff>
    </xdr:to>
    <xdr:cxnSp macro="">
      <xdr:nvCxnSpPr>
        <xdr:cNvPr id="127" name="EdibleFromPlants" hidden="1">
          <a:extLst>
            <a:ext uri="{FF2B5EF4-FFF2-40B4-BE49-F238E27FC236}">
              <a16:creationId xmlns:a16="http://schemas.microsoft.com/office/drawing/2014/main" id="{00000000-0008-0000-0500-00007F000000}"/>
            </a:ext>
          </a:extLst>
        </xdr:cNvPr>
        <xdr:cNvCxnSpPr>
          <a:cxnSpLocks/>
          <a:endCxn id="611" idx="0"/>
        </xdr:cNvCxnSpPr>
      </xdr:nvCxnSpPr>
      <xdr:spPr>
        <a:xfrm>
          <a:off x="2312894" y="3370729"/>
          <a:ext cx="0" cy="1129553"/>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358588</xdr:colOff>
      <xdr:row>14</xdr:row>
      <xdr:rowOff>179294</xdr:rowOff>
    </xdr:from>
    <xdr:to>
      <xdr:col>23</xdr:col>
      <xdr:colOff>700</xdr:colOff>
      <xdr:row>24</xdr:row>
      <xdr:rowOff>474</xdr:rowOff>
    </xdr:to>
    <xdr:cxnSp macro="">
      <xdr:nvCxnSpPr>
        <xdr:cNvPr id="60" name="H2O_ConPlants" hidden="1">
          <a:extLst>
            <a:ext uri="{FF2B5EF4-FFF2-40B4-BE49-F238E27FC236}">
              <a16:creationId xmlns:a16="http://schemas.microsoft.com/office/drawing/2014/main" id="{00000000-0008-0000-0500-00003C000000}"/>
            </a:ext>
          </a:extLst>
        </xdr:cNvPr>
        <xdr:cNvCxnSpPr>
          <a:stCxn id="136" idx="6"/>
          <a:endCxn id="112" idx="1"/>
        </xdr:cNvCxnSpPr>
      </xdr:nvCxnSpPr>
      <xdr:spPr>
        <a:xfrm flipH="1" flipV="1">
          <a:off x="752288" y="2833594"/>
          <a:ext cx="8303512" cy="1726180"/>
        </a:xfrm>
        <a:prstGeom prst="bentConnector5">
          <a:avLst>
            <a:gd name="adj1" fmla="val -4818"/>
            <a:gd name="adj2" fmla="val -205284"/>
            <a:gd name="adj3" fmla="val 102753"/>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0</xdr:colOff>
      <xdr:row>24</xdr:row>
      <xdr:rowOff>0</xdr:rowOff>
    </xdr:from>
    <xdr:to>
      <xdr:col>23</xdr:col>
      <xdr:colOff>700</xdr:colOff>
      <xdr:row>27</xdr:row>
      <xdr:rowOff>900</xdr:rowOff>
    </xdr:to>
    <xdr:sp macro="" textlink="">
      <xdr:nvSpPr>
        <xdr:cNvPr id="136" name="H2O_Storage">
          <a:extLst>
            <a:ext uri="{FF2B5EF4-FFF2-40B4-BE49-F238E27FC236}">
              <a16:creationId xmlns:a16="http://schemas.microsoft.com/office/drawing/2014/main" id="{00000000-0008-0000-0500-000088000000}"/>
            </a:ext>
          </a:extLst>
        </xdr:cNvPr>
        <xdr:cNvSpPr txBox="1"/>
      </xdr:nvSpPr>
      <xdr:spPr>
        <a:xfrm>
          <a:off x="7086600" y="4559300"/>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H</a:t>
          </a:r>
          <a:r>
            <a:rPr lang="en-GB" sz="1100" baseline="-25000"/>
            <a:t>2</a:t>
          </a:r>
          <a:r>
            <a:rPr lang="en-GB" sz="1100"/>
            <a:t>O Storage</a:t>
          </a:r>
        </a:p>
      </xdr:txBody>
    </xdr:sp>
    <xdr:clientData/>
  </xdr:twoCellAnchor>
  <xdr:twoCellAnchor editAs="oneCell">
    <xdr:from>
      <xdr:col>2</xdr:col>
      <xdr:colOff>0</xdr:colOff>
      <xdr:row>24</xdr:row>
      <xdr:rowOff>0</xdr:rowOff>
    </xdr:from>
    <xdr:to>
      <xdr:col>4</xdr:col>
      <xdr:colOff>0</xdr:colOff>
      <xdr:row>27</xdr:row>
      <xdr:rowOff>0</xdr:rowOff>
    </xdr:to>
    <xdr:sp macro="" textlink="">
      <xdr:nvSpPr>
        <xdr:cNvPr id="152" name="Nutrients" hidden="1">
          <a:extLst>
            <a:ext uri="{FF2B5EF4-FFF2-40B4-BE49-F238E27FC236}">
              <a16:creationId xmlns:a16="http://schemas.microsoft.com/office/drawing/2014/main" id="{00000000-0008-0000-0500-000098000000}"/>
            </a:ext>
          </a:extLst>
        </xdr:cNvPr>
        <xdr:cNvSpPr txBox="1"/>
      </xdr:nvSpPr>
      <xdr:spPr>
        <a:xfrm>
          <a:off x="762000" y="4000500"/>
          <a:ext cx="762000" cy="5715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Nutrients</a:t>
          </a:r>
        </a:p>
      </xdr:txBody>
    </xdr:sp>
    <xdr:clientData/>
  </xdr:twoCellAnchor>
  <xdr:twoCellAnchor editAs="oneCell">
    <xdr:from>
      <xdr:col>3</xdr:col>
      <xdr:colOff>0</xdr:colOff>
      <xdr:row>18</xdr:row>
      <xdr:rowOff>0</xdr:rowOff>
    </xdr:from>
    <xdr:to>
      <xdr:col>3</xdr:col>
      <xdr:colOff>0</xdr:colOff>
      <xdr:row>24</xdr:row>
      <xdr:rowOff>0</xdr:rowOff>
    </xdr:to>
    <xdr:cxnSp macro="">
      <xdr:nvCxnSpPr>
        <xdr:cNvPr id="153" name="NutrientsToPlants" hidden="1">
          <a:extLst>
            <a:ext uri="{FF2B5EF4-FFF2-40B4-BE49-F238E27FC236}">
              <a16:creationId xmlns:a16="http://schemas.microsoft.com/office/drawing/2014/main" id="{00000000-0008-0000-0500-000099000000}"/>
            </a:ext>
          </a:extLst>
        </xdr:cNvPr>
        <xdr:cNvCxnSpPr>
          <a:cxnSpLocks/>
          <a:stCxn id="152" idx="0"/>
        </xdr:cNvCxnSpPr>
      </xdr:nvCxnSpPr>
      <xdr:spPr>
        <a:xfrm flipV="1">
          <a:off x="1143000" y="2857500"/>
          <a:ext cx="0" cy="1143000"/>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9525</xdr:colOff>
          <xdr:row>13</xdr:row>
          <xdr:rowOff>85725</xdr:rowOff>
        </xdr:from>
        <xdr:to>
          <xdr:col>7</xdr:col>
          <xdr:colOff>47625</xdr:colOff>
          <xdr:row>15</xdr:row>
          <xdr:rowOff>0</xdr:rowOff>
        </xdr:to>
        <xdr:sp macro="" textlink="">
          <xdr:nvSpPr>
            <xdr:cNvPr id="200989" name="PlantGrowthChamberList" hidden="1">
              <a:extLst>
                <a:ext uri="{63B3BB69-23CF-44E3-9099-C40C66FF867C}">
                  <a14:compatExt spid="_x0000_s200989"/>
                </a:ext>
                <a:ext uri="{FF2B5EF4-FFF2-40B4-BE49-F238E27FC236}">
                  <a16:creationId xmlns:a16="http://schemas.microsoft.com/office/drawing/2014/main" id="{00000000-0008-0000-0300-00001D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180975</xdr:colOff>
          <xdr:row>15</xdr:row>
          <xdr:rowOff>28575</xdr:rowOff>
        </xdr:from>
        <xdr:to>
          <xdr:col>6</xdr:col>
          <xdr:colOff>314325</xdr:colOff>
          <xdr:row>16</xdr:row>
          <xdr:rowOff>104775</xdr:rowOff>
        </xdr:to>
        <xdr:sp macro="" textlink="">
          <xdr:nvSpPr>
            <xdr:cNvPr id="200990" name="PGC_NumberOfUnits" hidden="1">
              <a:extLst>
                <a:ext uri="{63B3BB69-23CF-44E3-9099-C40C66FF867C}">
                  <a14:compatExt spid="_x0000_s200990"/>
                </a:ext>
                <a:ext uri="{FF2B5EF4-FFF2-40B4-BE49-F238E27FC236}">
                  <a16:creationId xmlns:a16="http://schemas.microsoft.com/office/drawing/2014/main" id="{00000000-0008-0000-0300-00001E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15</xdr:row>
          <xdr:rowOff>47625</xdr:rowOff>
        </xdr:from>
        <xdr:to>
          <xdr:col>5</xdr:col>
          <xdr:colOff>104775</xdr:colOff>
          <xdr:row>16</xdr:row>
          <xdr:rowOff>9525</xdr:rowOff>
        </xdr:to>
        <xdr:sp macro="" textlink="">
          <xdr:nvSpPr>
            <xdr:cNvPr id="200991" name="PGC_LabelNumberOfUnits" hidden="1">
              <a:extLst>
                <a:ext uri="{63B3BB69-23CF-44E3-9099-C40C66FF867C}">
                  <a14:compatExt spid="_x0000_s200991"/>
                </a:ext>
                <a:ext uri="{FF2B5EF4-FFF2-40B4-BE49-F238E27FC236}">
                  <a16:creationId xmlns:a16="http://schemas.microsoft.com/office/drawing/2014/main" id="{00000000-0008-0000-0300-00001F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14</xdr:col>
      <xdr:colOff>381373</xdr:colOff>
      <xdr:row>25</xdr:row>
      <xdr:rowOff>189677</xdr:rowOff>
    </xdr:from>
    <xdr:to>
      <xdr:col>18</xdr:col>
      <xdr:colOff>0</xdr:colOff>
      <xdr:row>30</xdr:row>
      <xdr:rowOff>95250</xdr:rowOff>
    </xdr:to>
    <xdr:cxnSp macro="">
      <xdr:nvCxnSpPr>
        <xdr:cNvPr id="91" name="HygieneH2O_ProdCrew">
          <a:extLst>
            <a:ext uri="{FF2B5EF4-FFF2-40B4-BE49-F238E27FC236}">
              <a16:creationId xmlns:a16="http://schemas.microsoft.com/office/drawing/2014/main" id="{00000000-0008-0000-0500-00005B000000}"/>
            </a:ext>
          </a:extLst>
        </xdr:cNvPr>
        <xdr:cNvCxnSpPr>
          <a:cxnSpLocks/>
          <a:stCxn id="503" idx="9"/>
        </xdr:cNvCxnSpPr>
      </xdr:nvCxnSpPr>
      <xdr:spPr>
        <a:xfrm>
          <a:off x="5893173" y="4939477"/>
          <a:ext cx="1193427" cy="858073"/>
        </a:xfrm>
        <a:prstGeom prst="bentConnector3">
          <a:avLst>
            <a:gd name="adj1" fmla="val 70751"/>
          </a:avLst>
        </a:prstGeom>
        <a:ln w="12700">
          <a:solidFill>
            <a:srgbClr val="6C8EBF"/>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14</xdr:row>
      <xdr:rowOff>185916</xdr:rowOff>
    </xdr:from>
    <xdr:to>
      <xdr:col>29</xdr:col>
      <xdr:colOff>71718</xdr:colOff>
      <xdr:row>24</xdr:row>
      <xdr:rowOff>190326</xdr:rowOff>
    </xdr:to>
    <xdr:cxnSp macro="">
      <xdr:nvCxnSpPr>
        <xdr:cNvPr id="119" name="H2O_ToCO2Reduction" hidden="1">
          <a:extLst>
            <a:ext uri="{FF2B5EF4-FFF2-40B4-BE49-F238E27FC236}">
              <a16:creationId xmlns:a16="http://schemas.microsoft.com/office/drawing/2014/main" id="{00000000-0008-0000-0500-000077000000}"/>
            </a:ext>
          </a:extLst>
        </xdr:cNvPr>
        <xdr:cNvCxnSpPr>
          <a:cxnSpLocks/>
          <a:stCxn id="136" idx="7"/>
        </xdr:cNvCxnSpPr>
      </xdr:nvCxnSpPr>
      <xdr:spPr>
        <a:xfrm flipV="1">
          <a:off x="9055800" y="2840216"/>
          <a:ext cx="2433218" cy="1909410"/>
        </a:xfrm>
        <a:prstGeom prst="bentConnector3">
          <a:avLst>
            <a:gd name="adj1" fmla="val 50000"/>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380672</xdr:colOff>
      <xdr:row>7</xdr:row>
      <xdr:rowOff>84494</xdr:rowOff>
    </xdr:from>
    <xdr:to>
      <xdr:col>23</xdr:col>
      <xdr:colOff>361</xdr:colOff>
      <xdr:row>36</xdr:row>
      <xdr:rowOff>188060</xdr:rowOff>
    </xdr:to>
    <xdr:cxnSp macro="">
      <xdr:nvCxnSpPr>
        <xdr:cNvPr id="130" name="HumControlToWaste" hidden="1">
          <a:extLst>
            <a:ext uri="{FF2B5EF4-FFF2-40B4-BE49-F238E27FC236}">
              <a16:creationId xmlns:a16="http://schemas.microsoft.com/office/drawing/2014/main" id="{00000000-0008-0000-0500-000082000000}"/>
            </a:ext>
          </a:extLst>
        </xdr:cNvPr>
        <xdr:cNvCxnSpPr>
          <a:stCxn id="199" idx="1"/>
          <a:endCxn id="500" idx="8"/>
        </xdr:cNvCxnSpPr>
      </xdr:nvCxnSpPr>
      <xdr:spPr>
        <a:xfrm rot="10800000" flipH="1" flipV="1">
          <a:off x="3923972" y="1405294"/>
          <a:ext cx="5131489" cy="5628066"/>
        </a:xfrm>
        <a:prstGeom prst="bentConnector5">
          <a:avLst>
            <a:gd name="adj1" fmla="val -7177"/>
            <a:gd name="adj2" fmla="val 116843"/>
            <a:gd name="adj3" fmla="val 104455"/>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xdr:col>
      <xdr:colOff>162089</xdr:colOff>
      <xdr:row>17</xdr:row>
      <xdr:rowOff>179293</xdr:rowOff>
    </xdr:from>
    <xdr:to>
      <xdr:col>22</xdr:col>
      <xdr:colOff>7661</xdr:colOff>
      <xdr:row>38</xdr:row>
      <xdr:rowOff>187380</xdr:rowOff>
    </xdr:to>
    <xdr:cxnSp macro="">
      <xdr:nvCxnSpPr>
        <xdr:cNvPr id="84" name="Waste_FromPlants" hidden="1">
          <a:extLst>
            <a:ext uri="{FF2B5EF4-FFF2-40B4-BE49-F238E27FC236}">
              <a16:creationId xmlns:a16="http://schemas.microsoft.com/office/drawing/2014/main" id="{00000000-0008-0000-0500-000054000000}"/>
            </a:ext>
          </a:extLst>
        </xdr:cNvPr>
        <xdr:cNvCxnSpPr>
          <a:cxnSpLocks/>
          <a:stCxn id="112" idx="2"/>
          <a:endCxn id="500" idx="11"/>
        </xdr:cNvCxnSpPr>
      </xdr:nvCxnSpPr>
      <xdr:spPr>
        <a:xfrm rot="16200000" flipH="1">
          <a:off x="3198681" y="1943301"/>
          <a:ext cx="4008587" cy="6932172"/>
        </a:xfrm>
        <a:prstGeom prst="bentConnector4">
          <a:avLst>
            <a:gd name="adj1" fmla="val 115732"/>
            <a:gd name="adj2" fmla="val 99992"/>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162089</xdr:colOff>
      <xdr:row>7</xdr:row>
      <xdr:rowOff>84494</xdr:rowOff>
    </xdr:from>
    <xdr:to>
      <xdr:col>9</xdr:col>
      <xdr:colOff>380674</xdr:colOff>
      <xdr:row>11</xdr:row>
      <xdr:rowOff>179294</xdr:rowOff>
    </xdr:to>
    <xdr:cxnSp macro="">
      <xdr:nvCxnSpPr>
        <xdr:cNvPr id="16" name="HumControlToPlants" hidden="1">
          <a:extLst>
            <a:ext uri="{FF2B5EF4-FFF2-40B4-BE49-F238E27FC236}">
              <a16:creationId xmlns:a16="http://schemas.microsoft.com/office/drawing/2014/main" id="{00000000-0008-0000-0500-000010000000}"/>
            </a:ext>
          </a:extLst>
        </xdr:cNvPr>
        <xdr:cNvCxnSpPr>
          <a:stCxn id="199" idx="1"/>
          <a:endCxn id="112" idx="0"/>
        </xdr:cNvCxnSpPr>
      </xdr:nvCxnSpPr>
      <xdr:spPr>
        <a:xfrm rot="10800000" flipV="1">
          <a:off x="1736889" y="1405294"/>
          <a:ext cx="2187085" cy="856800"/>
        </a:xfrm>
        <a:prstGeom prst="bentConnector2">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197200</xdr:colOff>
      <xdr:row>33</xdr:row>
      <xdr:rowOff>900</xdr:rowOff>
    </xdr:from>
    <xdr:to>
      <xdr:col>20</xdr:col>
      <xdr:colOff>205736</xdr:colOff>
      <xdr:row>35</xdr:row>
      <xdr:rowOff>8965</xdr:rowOff>
    </xdr:to>
    <xdr:cxnSp macro="">
      <xdr:nvCxnSpPr>
        <xdr:cNvPr id="20" name="WWFiltrationToWaste">
          <a:extLst>
            <a:ext uri="{FF2B5EF4-FFF2-40B4-BE49-F238E27FC236}">
              <a16:creationId xmlns:a16="http://schemas.microsoft.com/office/drawing/2014/main" id="{00000000-0008-0000-0500-000014000000}"/>
            </a:ext>
          </a:extLst>
        </xdr:cNvPr>
        <xdr:cNvCxnSpPr>
          <a:stCxn id="8206" idx="2"/>
          <a:endCxn id="500" idx="3"/>
        </xdr:cNvCxnSpPr>
      </xdr:nvCxnSpPr>
      <xdr:spPr>
        <a:xfrm>
          <a:off x="8071200" y="6274700"/>
          <a:ext cx="8536" cy="389065"/>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362</xdr:colOff>
      <xdr:row>7</xdr:row>
      <xdr:rowOff>0</xdr:rowOff>
    </xdr:from>
    <xdr:to>
      <xdr:col>26</xdr:col>
      <xdr:colOff>303700</xdr:colOff>
      <xdr:row>36</xdr:row>
      <xdr:rowOff>188060</xdr:rowOff>
    </xdr:to>
    <xdr:cxnSp macro="">
      <xdr:nvCxnSpPr>
        <xdr:cNvPr id="4" name="CO2_RemovalToWaste" hidden="1">
          <a:extLst>
            <a:ext uri="{FF2B5EF4-FFF2-40B4-BE49-F238E27FC236}">
              <a16:creationId xmlns:a16="http://schemas.microsoft.com/office/drawing/2014/main" id="{00000000-0008-0000-0500-000004000000}"/>
            </a:ext>
          </a:extLst>
        </xdr:cNvPr>
        <xdr:cNvCxnSpPr>
          <a:stCxn id="3" idx="0"/>
          <a:endCxn id="500" idx="8"/>
        </xdr:cNvCxnSpPr>
      </xdr:nvCxnSpPr>
      <xdr:spPr>
        <a:xfrm rot="16200000" flipH="1" flipV="1">
          <a:off x="6941401" y="3434861"/>
          <a:ext cx="5712560" cy="1484438"/>
        </a:xfrm>
        <a:prstGeom prst="bentConnector4">
          <a:avLst>
            <a:gd name="adj1" fmla="val -4002"/>
            <a:gd name="adj2" fmla="val 79114"/>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205880</xdr:colOff>
      <xdr:row>9</xdr:row>
      <xdr:rowOff>0</xdr:rowOff>
    </xdr:from>
    <xdr:to>
      <xdr:col>23</xdr:col>
      <xdr:colOff>700</xdr:colOff>
      <xdr:row>24</xdr:row>
      <xdr:rowOff>190326</xdr:rowOff>
    </xdr:to>
    <xdr:cxnSp macro="">
      <xdr:nvCxnSpPr>
        <xdr:cNvPr id="13" name="H2O_ToCO2Removal" hidden="1">
          <a:extLst>
            <a:ext uri="{FF2B5EF4-FFF2-40B4-BE49-F238E27FC236}">
              <a16:creationId xmlns:a16="http://schemas.microsoft.com/office/drawing/2014/main" id="{00000000-0008-0000-0500-00000D000000}"/>
            </a:ext>
          </a:extLst>
        </xdr:cNvPr>
        <xdr:cNvCxnSpPr>
          <a:stCxn id="136" idx="7"/>
        </xdr:cNvCxnSpPr>
      </xdr:nvCxnSpPr>
      <xdr:spPr>
        <a:xfrm flipH="1" flipV="1">
          <a:off x="8079880" y="1701800"/>
          <a:ext cx="975920" cy="3047826"/>
        </a:xfrm>
        <a:prstGeom prst="bentConnector4">
          <a:avLst>
            <a:gd name="adj1" fmla="val -29280"/>
            <a:gd name="adj2" fmla="val 88124"/>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190522</xdr:colOff>
      <xdr:row>5</xdr:row>
      <xdr:rowOff>172945</xdr:rowOff>
    </xdr:from>
    <xdr:to>
      <xdr:col>20</xdr:col>
      <xdr:colOff>201311</xdr:colOff>
      <xdr:row>5</xdr:row>
      <xdr:rowOff>185645</xdr:rowOff>
    </xdr:to>
    <xdr:cxnSp macro="">
      <xdr:nvCxnSpPr>
        <xdr:cNvPr id="110" name="H2O_FromHumControlToCO2Removal" hidden="1">
          <a:extLst>
            <a:ext uri="{FF2B5EF4-FFF2-40B4-BE49-F238E27FC236}">
              <a16:creationId xmlns:a16="http://schemas.microsoft.com/office/drawing/2014/main" id="{00000000-0008-0000-0500-00006E000000}"/>
            </a:ext>
          </a:extLst>
        </xdr:cNvPr>
        <xdr:cNvCxnSpPr>
          <a:stCxn id="199" idx="0"/>
          <a:endCxn id="56" idx="0"/>
        </xdr:cNvCxnSpPr>
      </xdr:nvCxnSpPr>
      <xdr:spPr>
        <a:xfrm rot="5400000" flipH="1" flipV="1">
          <a:off x="6488767" y="-461100"/>
          <a:ext cx="12700" cy="3160389"/>
        </a:xfrm>
        <a:prstGeom prst="bentConnector3">
          <a:avLst>
            <a:gd name="adj1" fmla="val 1800000"/>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31</xdr:row>
      <xdr:rowOff>94258</xdr:rowOff>
    </xdr:from>
    <xdr:to>
      <xdr:col>16</xdr:col>
      <xdr:colOff>0</xdr:colOff>
      <xdr:row>31</xdr:row>
      <xdr:rowOff>95700</xdr:rowOff>
    </xdr:to>
    <xdr:cxnSp macro="">
      <xdr:nvCxnSpPr>
        <xdr:cNvPr id="121" name="GreyWaterFromUrineToWaste" hidden="1">
          <a:extLst>
            <a:ext uri="{FF2B5EF4-FFF2-40B4-BE49-F238E27FC236}">
              <a16:creationId xmlns:a16="http://schemas.microsoft.com/office/drawing/2014/main" id="{00000000-0008-0000-0500-000079000000}"/>
            </a:ext>
          </a:extLst>
        </xdr:cNvPr>
        <xdr:cNvCxnSpPr>
          <a:stCxn id="52" idx="3"/>
        </xdr:cNvCxnSpPr>
      </xdr:nvCxnSpPr>
      <xdr:spPr>
        <a:xfrm flipV="1">
          <a:off x="5893173" y="5987058"/>
          <a:ext cx="406027" cy="1442"/>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15</xdr:col>
      <xdr:colOff>0</xdr:colOff>
      <xdr:row>18</xdr:row>
      <xdr:rowOff>0</xdr:rowOff>
    </xdr:from>
    <xdr:to>
      <xdr:col>16</xdr:col>
      <xdr:colOff>0</xdr:colOff>
      <xdr:row>18</xdr:row>
      <xdr:rowOff>1</xdr:rowOff>
    </xdr:to>
    <xdr:cxnSp macro="">
      <xdr:nvCxnSpPr>
        <xdr:cNvPr id="96" name="Gerade Verbindung mit Pfeil 95">
          <a:extLst>
            <a:ext uri="{FF2B5EF4-FFF2-40B4-BE49-F238E27FC236}">
              <a16:creationId xmlns:a16="http://schemas.microsoft.com/office/drawing/2014/main" id="{00000000-0008-0000-0500-000060000000}"/>
            </a:ext>
          </a:extLst>
        </xdr:cNvPr>
        <xdr:cNvCxnSpPr/>
      </xdr:nvCxnSpPr>
      <xdr:spPr>
        <a:xfrm flipV="1">
          <a:off x="5715000" y="3048000"/>
          <a:ext cx="381000" cy="1"/>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15</xdr:col>
      <xdr:colOff>0</xdr:colOff>
      <xdr:row>19</xdr:row>
      <xdr:rowOff>0</xdr:rowOff>
    </xdr:from>
    <xdr:to>
      <xdr:col>16</xdr:col>
      <xdr:colOff>0</xdr:colOff>
      <xdr:row>19</xdr:row>
      <xdr:rowOff>0</xdr:rowOff>
    </xdr:to>
    <xdr:cxnSp macro="">
      <xdr:nvCxnSpPr>
        <xdr:cNvPr id="102" name="Gerade Verbindung mit Pfeil 101">
          <a:extLst>
            <a:ext uri="{FF2B5EF4-FFF2-40B4-BE49-F238E27FC236}">
              <a16:creationId xmlns:a16="http://schemas.microsoft.com/office/drawing/2014/main" id="{00000000-0008-0000-0500-000066000000}"/>
            </a:ext>
          </a:extLst>
        </xdr:cNvPr>
        <xdr:cNvCxnSpPr/>
      </xdr:nvCxnSpPr>
      <xdr:spPr>
        <a:xfrm>
          <a:off x="5715000" y="3238500"/>
          <a:ext cx="381000" cy="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31</xdr:col>
          <xdr:colOff>0</xdr:colOff>
          <xdr:row>0</xdr:row>
          <xdr:rowOff>142875</xdr:rowOff>
        </xdr:from>
        <xdr:to>
          <xdr:col>35</xdr:col>
          <xdr:colOff>38100</xdr:colOff>
          <xdr:row>2</xdr:row>
          <xdr:rowOff>19050</xdr:rowOff>
        </xdr:to>
        <xdr:sp macro="" textlink="">
          <xdr:nvSpPr>
            <xdr:cNvPr id="200999" name="AtmosphereMonitoringList" hidden="1">
              <a:extLst>
                <a:ext uri="{63B3BB69-23CF-44E3-9099-C40C66FF867C}">
                  <a14:compatExt spid="_x0000_s200999"/>
                </a:ext>
                <a:ext uri="{FF2B5EF4-FFF2-40B4-BE49-F238E27FC236}">
                  <a16:creationId xmlns:a16="http://schemas.microsoft.com/office/drawing/2014/main" id="{00000000-0008-0000-0300-000027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2</xdr:row>
          <xdr:rowOff>0</xdr:rowOff>
        </xdr:from>
        <xdr:to>
          <xdr:col>35</xdr:col>
          <xdr:colOff>38100</xdr:colOff>
          <xdr:row>3</xdr:row>
          <xdr:rowOff>66675</xdr:rowOff>
        </xdr:to>
        <xdr:sp macro="" textlink="">
          <xdr:nvSpPr>
            <xdr:cNvPr id="201002" name="TraceContaminantControlList" hidden="1">
              <a:extLst>
                <a:ext uri="{63B3BB69-23CF-44E3-9099-C40C66FF867C}">
                  <a14:compatExt spid="_x0000_s201002"/>
                </a:ext>
                <a:ext uri="{FF2B5EF4-FFF2-40B4-BE49-F238E27FC236}">
                  <a16:creationId xmlns:a16="http://schemas.microsoft.com/office/drawing/2014/main" id="{00000000-0008-0000-0300-00002A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25</xdr:row>
          <xdr:rowOff>104775</xdr:rowOff>
        </xdr:from>
        <xdr:to>
          <xdr:col>22</xdr:col>
          <xdr:colOff>352425</xdr:colOff>
          <xdr:row>26</xdr:row>
          <xdr:rowOff>152400</xdr:rowOff>
        </xdr:to>
        <xdr:sp macro="" textlink="">
          <xdr:nvSpPr>
            <xdr:cNvPr id="201007" name="WaterBalance" hidden="1">
              <a:extLst>
                <a:ext uri="{63B3BB69-23CF-44E3-9099-C40C66FF867C}">
                  <a14:compatExt spid="_x0000_s201007"/>
                </a:ext>
                <a:ext uri="{FF2B5EF4-FFF2-40B4-BE49-F238E27FC236}">
                  <a16:creationId xmlns:a16="http://schemas.microsoft.com/office/drawing/2014/main" id="{00000000-0008-0000-0300-00002F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212912</xdr:colOff>
      <xdr:row>19</xdr:row>
      <xdr:rowOff>171876</xdr:rowOff>
    </xdr:from>
    <xdr:to>
      <xdr:col>9</xdr:col>
      <xdr:colOff>380673</xdr:colOff>
      <xdr:row>39</xdr:row>
      <xdr:rowOff>168090</xdr:rowOff>
    </xdr:to>
    <xdr:cxnSp macro="">
      <xdr:nvCxnSpPr>
        <xdr:cNvPr id="6" name="CO2_FromWasteToCabin1" hidden="1">
          <a:extLst>
            <a:ext uri="{FF2B5EF4-FFF2-40B4-BE49-F238E27FC236}">
              <a16:creationId xmlns:a16="http://schemas.microsoft.com/office/drawing/2014/main" id="{00000000-0008-0000-0500-000006000000}"/>
            </a:ext>
          </a:extLst>
        </xdr:cNvPr>
        <xdr:cNvCxnSpPr>
          <a:endCxn id="225" idx="7"/>
        </xdr:cNvCxnSpPr>
      </xdr:nvCxnSpPr>
      <xdr:spPr>
        <a:xfrm rot="5400000" flipH="1" flipV="1">
          <a:off x="1936986" y="5597902"/>
          <a:ext cx="3806214" cy="167761"/>
        </a:xfrm>
        <a:prstGeom prst="bentConnector4">
          <a:avLst>
            <a:gd name="adj1" fmla="val 47408"/>
            <a:gd name="adj2" fmla="val -2200"/>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212273</xdr:colOff>
      <xdr:row>38</xdr:row>
      <xdr:rowOff>187380</xdr:rowOff>
    </xdr:from>
    <xdr:to>
      <xdr:col>19</xdr:col>
      <xdr:colOff>7442</xdr:colOff>
      <xdr:row>39</xdr:row>
      <xdr:rowOff>163286</xdr:rowOff>
    </xdr:to>
    <xdr:cxnSp macro="">
      <xdr:nvCxnSpPr>
        <xdr:cNvPr id="24" name="CO2_FromWasteToCabin2" hidden="1">
          <a:extLst>
            <a:ext uri="{FF2B5EF4-FFF2-40B4-BE49-F238E27FC236}">
              <a16:creationId xmlns:a16="http://schemas.microsoft.com/office/drawing/2014/main" id="{00000000-0008-0000-0500-000018000000}"/>
            </a:ext>
          </a:extLst>
        </xdr:cNvPr>
        <xdr:cNvCxnSpPr>
          <a:stCxn id="500" idx="15"/>
        </xdr:cNvCxnSpPr>
      </xdr:nvCxnSpPr>
      <xdr:spPr>
        <a:xfrm flipH="1">
          <a:off x="3755573" y="7413680"/>
          <a:ext cx="3732169" cy="166406"/>
        </a:xfrm>
        <a:prstGeom prst="bentConnector3">
          <a:avLst>
            <a:gd name="adj1" fmla="val -48140"/>
          </a:avLst>
        </a:prstGeom>
        <a:ln w="12700">
          <a:solidFill>
            <a:srgbClr val="999999"/>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87923</xdr:colOff>
      <xdr:row>27</xdr:row>
      <xdr:rowOff>7327</xdr:rowOff>
    </xdr:from>
    <xdr:to>
      <xdr:col>11</xdr:col>
      <xdr:colOff>94727</xdr:colOff>
      <xdr:row>27</xdr:row>
      <xdr:rowOff>7803</xdr:rowOff>
    </xdr:to>
    <xdr:cxnSp macro="">
      <xdr:nvCxnSpPr>
        <xdr:cNvPr id="36" name="CrewUrineToPlants" hidden="1">
          <a:extLst>
            <a:ext uri="{FF2B5EF4-FFF2-40B4-BE49-F238E27FC236}">
              <a16:creationId xmlns:a16="http://schemas.microsoft.com/office/drawing/2014/main" id="{00000000-0008-0000-0500-000024000000}"/>
            </a:ext>
          </a:extLst>
        </xdr:cNvPr>
        <xdr:cNvCxnSpPr/>
      </xdr:nvCxnSpPr>
      <xdr:spPr>
        <a:xfrm flipH="1" flipV="1">
          <a:off x="1230923" y="5150827"/>
          <a:ext cx="3054804" cy="476"/>
        </a:xfrm>
        <a:prstGeom prst="bentConnector4">
          <a:avLst>
            <a:gd name="adj1" fmla="val -65"/>
            <a:gd name="adj2" fmla="val -7315357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47625</xdr:colOff>
          <xdr:row>16</xdr:row>
          <xdr:rowOff>114300</xdr:rowOff>
        </xdr:from>
        <xdr:to>
          <xdr:col>7</xdr:col>
          <xdr:colOff>0</xdr:colOff>
          <xdr:row>17</xdr:row>
          <xdr:rowOff>133350</xdr:rowOff>
        </xdr:to>
        <xdr:sp macro="" textlink="">
          <xdr:nvSpPr>
            <xdr:cNvPr id="201010" name="PGCurineTreatmentOption" hidden="1">
              <a:extLst>
                <a:ext uri="{63B3BB69-23CF-44E3-9099-C40C66FF867C}">
                  <a14:compatExt spid="_x0000_s201010"/>
                </a:ext>
                <a:ext uri="{FF2B5EF4-FFF2-40B4-BE49-F238E27FC236}">
                  <a16:creationId xmlns:a16="http://schemas.microsoft.com/office/drawing/2014/main" id="{00000000-0008-0000-0300-000032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257175</xdr:colOff>
          <xdr:row>37</xdr:row>
          <xdr:rowOff>104775</xdr:rowOff>
        </xdr:from>
        <xdr:to>
          <xdr:col>22</xdr:col>
          <xdr:colOff>228600</xdr:colOff>
          <xdr:row>38</xdr:row>
          <xdr:rowOff>114300</xdr:rowOff>
        </xdr:to>
        <xdr:sp macro="" textlink="">
          <xdr:nvSpPr>
            <xdr:cNvPr id="201011" name="OptionIncinerateInedible" hidden="1">
              <a:extLst>
                <a:ext uri="{63B3BB69-23CF-44E3-9099-C40C66FF867C}">
                  <a14:compatExt spid="_x0000_s201011"/>
                </a:ext>
                <a:ext uri="{FF2B5EF4-FFF2-40B4-BE49-F238E27FC236}">
                  <a16:creationId xmlns:a16="http://schemas.microsoft.com/office/drawing/2014/main" id="{00000000-0008-0000-0300-000033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358588</xdr:colOff>
      <xdr:row>2</xdr:row>
      <xdr:rowOff>134471</xdr:rowOff>
    </xdr:from>
    <xdr:to>
      <xdr:col>6</xdr:col>
      <xdr:colOff>359288</xdr:colOff>
      <xdr:row>8</xdr:row>
      <xdr:rowOff>44824</xdr:rowOff>
    </xdr:to>
    <xdr:sp macro="" textlink="">
      <xdr:nvSpPr>
        <xdr:cNvPr id="2" name="CO2Removal">
          <a:extLst>
            <a:ext uri="{FF2B5EF4-FFF2-40B4-BE49-F238E27FC236}">
              <a16:creationId xmlns:a16="http://schemas.microsoft.com/office/drawing/2014/main" id="{00000000-0008-0000-0500-000002000000}"/>
            </a:ext>
          </a:extLst>
        </xdr:cNvPr>
        <xdr:cNvSpPr txBox="1"/>
      </xdr:nvSpPr>
      <xdr:spPr>
        <a:xfrm>
          <a:off x="752288" y="502771"/>
          <a:ext cx="1969200" cy="1053353"/>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PBR</a:t>
          </a:r>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4</xdr:row>
          <xdr:rowOff>28575</xdr:rowOff>
        </xdr:from>
        <xdr:to>
          <xdr:col>7</xdr:col>
          <xdr:colOff>38100</xdr:colOff>
          <xdr:row>5</xdr:row>
          <xdr:rowOff>133350</xdr:rowOff>
        </xdr:to>
        <xdr:sp macro="" textlink="">
          <xdr:nvSpPr>
            <xdr:cNvPr id="201014" name="PBRList" hidden="1">
              <a:extLst>
                <a:ext uri="{63B3BB69-23CF-44E3-9099-C40C66FF867C}">
                  <a14:compatExt spid="_x0000_s201014"/>
                </a:ext>
                <a:ext uri="{FF2B5EF4-FFF2-40B4-BE49-F238E27FC236}">
                  <a16:creationId xmlns:a16="http://schemas.microsoft.com/office/drawing/2014/main" id="{00000000-0008-0000-0300-000036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162089</xdr:colOff>
      <xdr:row>2</xdr:row>
      <xdr:rowOff>134471</xdr:rowOff>
    </xdr:from>
    <xdr:to>
      <xdr:col>26</xdr:col>
      <xdr:colOff>303701</xdr:colOff>
      <xdr:row>7</xdr:row>
      <xdr:rowOff>0</xdr:rowOff>
    </xdr:to>
    <xdr:cxnSp macro="">
      <xdr:nvCxnSpPr>
        <xdr:cNvPr id="17" name="CO2ToPBR" hidden="1">
          <a:extLst>
            <a:ext uri="{FF2B5EF4-FFF2-40B4-BE49-F238E27FC236}">
              <a16:creationId xmlns:a16="http://schemas.microsoft.com/office/drawing/2014/main" id="{00000000-0008-0000-0500-000011000000}"/>
            </a:ext>
          </a:extLst>
        </xdr:cNvPr>
        <xdr:cNvCxnSpPr>
          <a:stCxn id="3" idx="0"/>
          <a:endCxn id="2" idx="0"/>
        </xdr:cNvCxnSpPr>
      </xdr:nvCxnSpPr>
      <xdr:spPr>
        <a:xfrm rot="16200000" flipV="1">
          <a:off x="5729380" y="-3489720"/>
          <a:ext cx="818029" cy="8803012"/>
        </a:xfrm>
        <a:prstGeom prst="bentConnector3">
          <a:avLst>
            <a:gd name="adj1" fmla="val 110867"/>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5</xdr:row>
      <xdr:rowOff>89648</xdr:rowOff>
    </xdr:from>
    <xdr:to>
      <xdr:col>6</xdr:col>
      <xdr:colOff>359288</xdr:colOff>
      <xdr:row>24</xdr:row>
      <xdr:rowOff>0</xdr:rowOff>
    </xdr:to>
    <xdr:cxnSp macro="">
      <xdr:nvCxnSpPr>
        <xdr:cNvPr id="27" name="FoodFromPBR" hidden="1">
          <a:extLst>
            <a:ext uri="{FF2B5EF4-FFF2-40B4-BE49-F238E27FC236}">
              <a16:creationId xmlns:a16="http://schemas.microsoft.com/office/drawing/2014/main" id="{00000000-0008-0000-0500-00001B000000}"/>
            </a:ext>
          </a:extLst>
        </xdr:cNvPr>
        <xdr:cNvCxnSpPr>
          <a:stCxn id="2" idx="3"/>
          <a:endCxn id="611" idx="0"/>
        </xdr:cNvCxnSpPr>
      </xdr:nvCxnSpPr>
      <xdr:spPr>
        <a:xfrm flipH="1">
          <a:off x="2362200" y="1029448"/>
          <a:ext cx="359288" cy="3529852"/>
        </a:xfrm>
        <a:prstGeom prst="bentConnector4">
          <a:avLst>
            <a:gd name="adj1" fmla="val -63626"/>
            <a:gd name="adj2" fmla="val 7329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162089</xdr:colOff>
      <xdr:row>8</xdr:row>
      <xdr:rowOff>44823</xdr:rowOff>
    </xdr:from>
    <xdr:to>
      <xdr:col>20</xdr:col>
      <xdr:colOff>197201</xdr:colOff>
      <xdr:row>11</xdr:row>
      <xdr:rowOff>178678</xdr:rowOff>
    </xdr:to>
    <xdr:cxnSp macro="">
      <xdr:nvCxnSpPr>
        <xdr:cNvPr id="39" name="O2FromPBR" hidden="1">
          <a:extLst>
            <a:ext uri="{FF2B5EF4-FFF2-40B4-BE49-F238E27FC236}">
              <a16:creationId xmlns:a16="http://schemas.microsoft.com/office/drawing/2014/main" id="{00000000-0008-0000-0500-000027000000}"/>
            </a:ext>
          </a:extLst>
        </xdr:cNvPr>
        <xdr:cNvCxnSpPr>
          <a:stCxn id="2" idx="2"/>
          <a:endCxn id="67" idx="0"/>
        </xdr:cNvCxnSpPr>
      </xdr:nvCxnSpPr>
      <xdr:spPr>
        <a:xfrm rot="16200000" flipH="1">
          <a:off x="4551367" y="-1258355"/>
          <a:ext cx="705355" cy="6334312"/>
        </a:xfrm>
        <a:prstGeom prst="bentConnector3">
          <a:avLst>
            <a:gd name="adj1" fmla="val 59903"/>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358588</xdr:colOff>
      <xdr:row>5</xdr:row>
      <xdr:rowOff>89647</xdr:rowOff>
    </xdr:from>
    <xdr:to>
      <xdr:col>22</xdr:col>
      <xdr:colOff>7660</xdr:colOff>
      <xdr:row>38</xdr:row>
      <xdr:rowOff>187380</xdr:rowOff>
    </xdr:to>
    <xdr:cxnSp macro="">
      <xdr:nvCxnSpPr>
        <xdr:cNvPr id="44" name="InedibleBiomassPBR" hidden="1">
          <a:extLst>
            <a:ext uri="{FF2B5EF4-FFF2-40B4-BE49-F238E27FC236}">
              <a16:creationId xmlns:a16="http://schemas.microsoft.com/office/drawing/2014/main" id="{00000000-0008-0000-0500-00002C000000}"/>
            </a:ext>
          </a:extLst>
        </xdr:cNvPr>
        <xdr:cNvCxnSpPr>
          <a:stCxn id="2" idx="1"/>
          <a:endCxn id="500" idx="11"/>
        </xdr:cNvCxnSpPr>
      </xdr:nvCxnSpPr>
      <xdr:spPr>
        <a:xfrm rot="10800000" flipH="1" flipV="1">
          <a:off x="752288" y="1029447"/>
          <a:ext cx="7916772" cy="6384233"/>
        </a:xfrm>
        <a:prstGeom prst="bentConnector5">
          <a:avLst>
            <a:gd name="adj1" fmla="val -2888"/>
            <a:gd name="adj2" fmla="val 111312"/>
            <a:gd name="adj3" fmla="val 100000"/>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84838</xdr:colOff>
      <xdr:row>11</xdr:row>
      <xdr:rowOff>178679</xdr:rowOff>
    </xdr:from>
    <xdr:to>
      <xdr:col>29</xdr:col>
      <xdr:colOff>85538</xdr:colOff>
      <xdr:row>14</xdr:row>
      <xdr:rowOff>179579</xdr:rowOff>
    </xdr:to>
    <xdr:sp macro="" textlink="">
      <xdr:nvSpPr>
        <xdr:cNvPr id="14" name="CO2_Reduction">
          <a:extLst>
            <a:ext uri="{FF2B5EF4-FFF2-40B4-BE49-F238E27FC236}">
              <a16:creationId xmlns:a16="http://schemas.microsoft.com/office/drawing/2014/main" id="{00000000-0008-0000-0500-00000E000000}"/>
            </a:ext>
          </a:extLst>
        </xdr:cNvPr>
        <xdr:cNvSpPr txBox="1"/>
      </xdr:nvSpPr>
      <xdr:spPr>
        <a:xfrm>
          <a:off x="9533638" y="2261479"/>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CO</a:t>
          </a:r>
          <a:r>
            <a:rPr lang="en-GB" sz="1100" baseline="-25000"/>
            <a:t>2</a:t>
          </a:r>
          <a:r>
            <a:rPr lang="en-GB" sz="1100"/>
            <a:t> Reduction</a:t>
          </a:r>
        </a:p>
      </xdr:txBody>
    </xdr:sp>
    <xdr:clientData/>
  </xdr:twoCellAnchor>
  <xdr:twoCellAnchor>
    <xdr:from>
      <xdr:col>6</xdr:col>
      <xdr:colOff>367554</xdr:colOff>
      <xdr:row>3</xdr:row>
      <xdr:rowOff>116542</xdr:rowOff>
    </xdr:from>
    <xdr:to>
      <xdr:col>23</xdr:col>
      <xdr:colOff>700</xdr:colOff>
      <xdr:row>24</xdr:row>
      <xdr:rowOff>190326</xdr:rowOff>
    </xdr:to>
    <xdr:cxnSp macro="">
      <xdr:nvCxnSpPr>
        <xdr:cNvPr id="19" name="WaterToPBR" hidden="1">
          <a:extLst>
            <a:ext uri="{FF2B5EF4-FFF2-40B4-BE49-F238E27FC236}">
              <a16:creationId xmlns:a16="http://schemas.microsoft.com/office/drawing/2014/main" id="{00000000-0008-0000-0500-000013000000}"/>
            </a:ext>
          </a:extLst>
        </xdr:cNvPr>
        <xdr:cNvCxnSpPr>
          <a:stCxn id="136" idx="7"/>
        </xdr:cNvCxnSpPr>
      </xdr:nvCxnSpPr>
      <xdr:spPr>
        <a:xfrm flipH="1" flipV="1">
          <a:off x="2729754" y="675342"/>
          <a:ext cx="6326046" cy="4074284"/>
        </a:xfrm>
        <a:prstGeom prst="bentConnector3">
          <a:avLst>
            <a:gd name="adj1" fmla="val -3614"/>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358587</xdr:colOff>
      <xdr:row>5</xdr:row>
      <xdr:rowOff>89648</xdr:rowOff>
    </xdr:from>
    <xdr:to>
      <xdr:col>20</xdr:col>
      <xdr:colOff>482</xdr:colOff>
      <xdr:row>26</xdr:row>
      <xdr:rowOff>189028</xdr:rowOff>
    </xdr:to>
    <xdr:cxnSp macro="">
      <xdr:nvCxnSpPr>
        <xdr:cNvPr id="31" name="WaterFromPBR" hidden="1">
          <a:extLst>
            <a:ext uri="{FF2B5EF4-FFF2-40B4-BE49-F238E27FC236}">
              <a16:creationId xmlns:a16="http://schemas.microsoft.com/office/drawing/2014/main" id="{00000000-0008-0000-0500-00001F000000}"/>
            </a:ext>
          </a:extLst>
        </xdr:cNvPr>
        <xdr:cNvCxnSpPr>
          <a:stCxn id="2" idx="1"/>
          <a:endCxn id="136" idx="14"/>
        </xdr:cNvCxnSpPr>
      </xdr:nvCxnSpPr>
      <xdr:spPr>
        <a:xfrm rot="10800000" flipH="1" flipV="1">
          <a:off x="752287" y="1029448"/>
          <a:ext cx="7122195" cy="4099880"/>
        </a:xfrm>
        <a:prstGeom prst="bentConnector5">
          <a:avLst>
            <a:gd name="adj1" fmla="val -5439"/>
            <a:gd name="adj2" fmla="val 106932"/>
            <a:gd name="adj3" fmla="val 9991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385482</xdr:colOff>
      <xdr:row>8</xdr:row>
      <xdr:rowOff>44824</xdr:rowOff>
    </xdr:from>
    <xdr:to>
      <xdr:col>3</xdr:col>
      <xdr:colOff>215152</xdr:colOff>
      <xdr:row>25</xdr:row>
      <xdr:rowOff>94130</xdr:rowOff>
    </xdr:to>
    <xdr:cxnSp macro="">
      <xdr:nvCxnSpPr>
        <xdr:cNvPr id="43" name="NutrientsToPBR" hidden="1">
          <a:extLst>
            <a:ext uri="{FF2B5EF4-FFF2-40B4-BE49-F238E27FC236}">
              <a16:creationId xmlns:a16="http://schemas.microsoft.com/office/drawing/2014/main" id="{00000000-0008-0000-0500-00002B000000}"/>
            </a:ext>
          </a:extLst>
        </xdr:cNvPr>
        <xdr:cNvCxnSpPr>
          <a:stCxn id="152" idx="1"/>
        </xdr:cNvCxnSpPr>
      </xdr:nvCxnSpPr>
      <xdr:spPr>
        <a:xfrm rot="10800000" flipH="1">
          <a:off x="770964" y="1532965"/>
          <a:ext cx="600635" cy="3249706"/>
        </a:xfrm>
        <a:prstGeom prst="bentConnector4">
          <a:avLst>
            <a:gd name="adj1" fmla="val -25711"/>
            <a:gd name="adj2" fmla="val 90207"/>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9525</xdr:colOff>
          <xdr:row>6</xdr:row>
          <xdr:rowOff>28575</xdr:rowOff>
        </xdr:from>
        <xdr:to>
          <xdr:col>5</xdr:col>
          <xdr:colOff>285750</xdr:colOff>
          <xdr:row>7</xdr:row>
          <xdr:rowOff>104775</xdr:rowOff>
        </xdr:to>
        <xdr:sp macro="" textlink="">
          <xdr:nvSpPr>
            <xdr:cNvPr id="201016" name="PBR_LabelCO2Percentage" hidden="1">
              <a:extLst>
                <a:ext uri="{63B3BB69-23CF-44E3-9099-C40C66FF867C}">
                  <a14:compatExt spid="_x0000_s201016"/>
                </a:ext>
                <a:ext uri="{FF2B5EF4-FFF2-40B4-BE49-F238E27FC236}">
                  <a16:creationId xmlns:a16="http://schemas.microsoft.com/office/drawing/2014/main" id="{00000000-0008-0000-0300-000038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238125</xdr:colOff>
          <xdr:row>6</xdr:row>
          <xdr:rowOff>28575</xdr:rowOff>
        </xdr:from>
        <xdr:to>
          <xdr:col>6</xdr:col>
          <xdr:colOff>333375</xdr:colOff>
          <xdr:row>7</xdr:row>
          <xdr:rowOff>76200</xdr:rowOff>
        </xdr:to>
        <xdr:sp macro="" textlink="">
          <xdr:nvSpPr>
            <xdr:cNvPr id="201017" name="PBR_CO2Percentage" hidden="1">
              <a:extLst>
                <a:ext uri="{63B3BB69-23CF-44E3-9099-C40C66FF867C}">
                  <a14:compatExt spid="_x0000_s201017"/>
                </a:ext>
                <a:ext uri="{FF2B5EF4-FFF2-40B4-BE49-F238E27FC236}">
                  <a16:creationId xmlns:a16="http://schemas.microsoft.com/office/drawing/2014/main" id="{00000000-0008-0000-0300-000039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123825</xdr:colOff>
          <xdr:row>13</xdr:row>
          <xdr:rowOff>28575</xdr:rowOff>
        </xdr:from>
        <xdr:to>
          <xdr:col>29</xdr:col>
          <xdr:colOff>152400</xdr:colOff>
          <xdr:row>14</xdr:row>
          <xdr:rowOff>133350</xdr:rowOff>
        </xdr:to>
        <xdr:sp macro="" textlink="">
          <xdr:nvSpPr>
            <xdr:cNvPr id="200981" name="CO2ReductionList" hidden="1">
              <a:extLst>
                <a:ext uri="{63B3BB69-23CF-44E3-9099-C40C66FF867C}">
                  <a14:compatExt spid="_x0000_s200981"/>
                </a:ext>
                <a:ext uri="{FF2B5EF4-FFF2-40B4-BE49-F238E27FC236}">
                  <a16:creationId xmlns:a16="http://schemas.microsoft.com/office/drawing/2014/main" id="{00000000-0008-0000-0300-000015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30</xdr:col>
      <xdr:colOff>380673</xdr:colOff>
      <xdr:row>14</xdr:row>
      <xdr:rowOff>8965</xdr:rowOff>
    </xdr:from>
    <xdr:to>
      <xdr:col>35</xdr:col>
      <xdr:colOff>381373</xdr:colOff>
      <xdr:row>17</xdr:row>
      <xdr:rowOff>9865</xdr:rowOff>
    </xdr:to>
    <xdr:sp macro="" textlink="">
      <xdr:nvSpPr>
        <xdr:cNvPr id="51" name="CO2_Reduction">
          <a:extLst>
            <a:ext uri="{FF2B5EF4-FFF2-40B4-BE49-F238E27FC236}">
              <a16:creationId xmlns:a16="http://schemas.microsoft.com/office/drawing/2014/main" id="{00000000-0008-0000-0500-000033000000}"/>
            </a:ext>
          </a:extLst>
        </xdr:cNvPr>
        <xdr:cNvSpPr txBox="1"/>
      </xdr:nvSpPr>
      <xdr:spPr>
        <a:xfrm>
          <a:off x="12191673" y="2663265"/>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Methane Processing</a:t>
          </a:r>
        </a:p>
      </xdr:txBody>
    </xdr:sp>
    <xdr:clientData/>
  </xdr:twoCellAnchor>
  <mc:AlternateContent xmlns:mc="http://schemas.openxmlformats.org/markup-compatibility/2006">
    <mc:Choice xmlns:a14="http://schemas.microsoft.com/office/drawing/2010/main" Requires="a14">
      <xdr:twoCellAnchor editAs="oneCell">
        <xdr:from>
          <xdr:col>31</xdr:col>
          <xdr:colOff>28575</xdr:colOff>
          <xdr:row>15</xdr:row>
          <xdr:rowOff>66675</xdr:rowOff>
        </xdr:from>
        <xdr:to>
          <xdr:col>36</xdr:col>
          <xdr:colOff>66675</xdr:colOff>
          <xdr:row>16</xdr:row>
          <xdr:rowOff>171450</xdr:rowOff>
        </xdr:to>
        <xdr:sp macro="" textlink="">
          <xdr:nvSpPr>
            <xdr:cNvPr id="201018" name="MethaneProcessingList" hidden="1">
              <a:extLst>
                <a:ext uri="{63B3BB69-23CF-44E3-9099-C40C66FF867C}">
                  <a14:compatExt spid="_x0000_s201018"/>
                </a:ext>
                <a:ext uri="{FF2B5EF4-FFF2-40B4-BE49-F238E27FC236}">
                  <a16:creationId xmlns:a16="http://schemas.microsoft.com/office/drawing/2014/main" id="{00000000-0008-0000-0300-00003A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29</xdr:col>
      <xdr:colOff>85538</xdr:colOff>
      <xdr:row>13</xdr:row>
      <xdr:rowOff>177856</xdr:rowOff>
    </xdr:from>
    <xdr:to>
      <xdr:col>30</xdr:col>
      <xdr:colOff>381012</xdr:colOff>
      <xdr:row>16</xdr:row>
      <xdr:rowOff>8142</xdr:rowOff>
    </xdr:to>
    <xdr:cxnSp macro="">
      <xdr:nvCxnSpPr>
        <xdr:cNvPr id="34" name="CH4_FromReductionToProcessing" hidden="1">
          <a:extLst>
            <a:ext uri="{FF2B5EF4-FFF2-40B4-BE49-F238E27FC236}">
              <a16:creationId xmlns:a16="http://schemas.microsoft.com/office/drawing/2014/main" id="{00000000-0008-0000-0500-000022000000}"/>
            </a:ext>
          </a:extLst>
        </xdr:cNvPr>
        <xdr:cNvCxnSpPr>
          <a:stCxn id="14" idx="9"/>
          <a:endCxn id="51" idx="17"/>
        </xdr:cNvCxnSpPr>
      </xdr:nvCxnSpPr>
      <xdr:spPr>
        <a:xfrm>
          <a:off x="11502838" y="2641656"/>
          <a:ext cx="689174" cy="401786"/>
        </a:xfrm>
        <a:prstGeom prst="bentConnector3">
          <a:avLst>
            <a:gd name="adj1" fmla="val 60432"/>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370459</xdr:colOff>
      <xdr:row>9</xdr:row>
      <xdr:rowOff>81825</xdr:rowOff>
    </xdr:from>
    <xdr:to>
      <xdr:col>34</xdr:col>
      <xdr:colOff>381301</xdr:colOff>
      <xdr:row>14</xdr:row>
      <xdr:rowOff>9440</xdr:rowOff>
    </xdr:to>
    <xdr:cxnSp macro="">
      <xdr:nvCxnSpPr>
        <xdr:cNvPr id="455" name="FromMethaneProcessingToVent" hidden="1">
          <a:extLst>
            <a:ext uri="{FF2B5EF4-FFF2-40B4-BE49-F238E27FC236}">
              <a16:creationId xmlns:a16="http://schemas.microsoft.com/office/drawing/2014/main" id="{00000000-0008-0000-0500-0000C7010000}"/>
            </a:ext>
          </a:extLst>
        </xdr:cNvPr>
        <xdr:cNvCxnSpPr>
          <a:stCxn id="51" idx="5"/>
          <a:endCxn id="584" idx="4"/>
        </xdr:cNvCxnSpPr>
      </xdr:nvCxnSpPr>
      <xdr:spPr>
        <a:xfrm flipH="1" flipV="1">
          <a:off x="12575159" y="1783625"/>
          <a:ext cx="1191942" cy="880115"/>
        </a:xfrm>
        <a:prstGeom prst="bentConnector4">
          <a:avLst>
            <a:gd name="adj1" fmla="val 1065"/>
            <a:gd name="adj2" fmla="val 50027"/>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85538</xdr:colOff>
      <xdr:row>15</xdr:row>
      <xdr:rowOff>8791</xdr:rowOff>
    </xdr:from>
    <xdr:to>
      <xdr:col>35</xdr:col>
      <xdr:colOff>381373</xdr:colOff>
      <xdr:row>19</xdr:row>
      <xdr:rowOff>82856</xdr:rowOff>
    </xdr:to>
    <xdr:cxnSp macro="">
      <xdr:nvCxnSpPr>
        <xdr:cNvPr id="461" name="H2_FromMethaneProcessing" hidden="1">
          <a:extLst>
            <a:ext uri="{FF2B5EF4-FFF2-40B4-BE49-F238E27FC236}">
              <a16:creationId xmlns:a16="http://schemas.microsoft.com/office/drawing/2014/main" id="{00000000-0008-0000-0500-0000CD010000}"/>
            </a:ext>
          </a:extLst>
        </xdr:cNvPr>
        <xdr:cNvCxnSpPr>
          <a:stCxn id="51" idx="7"/>
          <a:endCxn id="72" idx="3"/>
        </xdr:cNvCxnSpPr>
      </xdr:nvCxnSpPr>
      <xdr:spPr>
        <a:xfrm flipH="1">
          <a:off x="11502838" y="2853591"/>
          <a:ext cx="2658035" cy="836065"/>
        </a:xfrm>
        <a:prstGeom prst="bentConnector3">
          <a:avLst>
            <a:gd name="adj1" fmla="val -8600"/>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700</xdr:colOff>
      <xdr:row>16</xdr:row>
      <xdr:rowOff>8142</xdr:rowOff>
    </xdr:from>
    <xdr:to>
      <xdr:col>35</xdr:col>
      <xdr:colOff>381373</xdr:colOff>
      <xdr:row>37</xdr:row>
      <xdr:rowOff>128116</xdr:rowOff>
    </xdr:to>
    <xdr:cxnSp macro="">
      <xdr:nvCxnSpPr>
        <xdr:cNvPr id="8" name="FromMethaneProcessingToWaste" hidden="1">
          <a:extLst>
            <a:ext uri="{FF2B5EF4-FFF2-40B4-BE49-F238E27FC236}">
              <a16:creationId xmlns:a16="http://schemas.microsoft.com/office/drawing/2014/main" id="{00000000-0008-0000-0500-000008000000}"/>
            </a:ext>
          </a:extLst>
        </xdr:cNvPr>
        <xdr:cNvCxnSpPr>
          <a:stCxn id="51" idx="9"/>
          <a:endCxn id="500" idx="9"/>
        </xdr:cNvCxnSpPr>
      </xdr:nvCxnSpPr>
      <xdr:spPr>
        <a:xfrm flipH="1">
          <a:off x="9055800" y="3043442"/>
          <a:ext cx="5105073" cy="4120474"/>
        </a:xfrm>
        <a:prstGeom prst="bentConnector3">
          <a:avLst>
            <a:gd name="adj1" fmla="val -2612"/>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0</xdr:col>
          <xdr:colOff>28575</xdr:colOff>
          <xdr:row>0</xdr:row>
          <xdr:rowOff>0</xdr:rowOff>
        </xdr:from>
        <xdr:to>
          <xdr:col>3</xdr:col>
          <xdr:colOff>381000</xdr:colOff>
          <xdr:row>2</xdr:row>
          <xdr:rowOff>9525</xdr:rowOff>
        </xdr:to>
        <xdr:sp macro="" textlink="">
          <xdr:nvSpPr>
            <xdr:cNvPr id="201019" name="Button 48443" hidden="1">
              <a:extLst>
                <a:ext uri="{63B3BB69-23CF-44E3-9099-C40C66FF867C}">
                  <a14:compatExt spid="_x0000_s201019"/>
                </a:ext>
                <a:ext uri="{FF2B5EF4-FFF2-40B4-BE49-F238E27FC236}">
                  <a16:creationId xmlns:a16="http://schemas.microsoft.com/office/drawing/2014/main" id="{00000000-0008-0000-0300-00003B11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User's Guide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0</xdr:rowOff>
        </xdr:from>
        <xdr:to>
          <xdr:col>7</xdr:col>
          <xdr:colOff>371475</xdr:colOff>
          <xdr:row>2</xdr:row>
          <xdr:rowOff>9525</xdr:rowOff>
        </xdr:to>
        <xdr:sp macro="" textlink="">
          <xdr:nvSpPr>
            <xdr:cNvPr id="201020" name="Button 48444" hidden="1">
              <a:extLst>
                <a:ext uri="{63B3BB69-23CF-44E3-9099-C40C66FF867C}">
                  <a14:compatExt spid="_x0000_s201020"/>
                </a:ext>
                <a:ext uri="{FF2B5EF4-FFF2-40B4-BE49-F238E27FC236}">
                  <a16:creationId xmlns:a16="http://schemas.microsoft.com/office/drawing/2014/main" id="{00000000-0008-0000-0300-00003C11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Initialize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0</xdr:row>
          <xdr:rowOff>0</xdr:rowOff>
        </xdr:from>
        <xdr:to>
          <xdr:col>11</xdr:col>
          <xdr:colOff>371475</xdr:colOff>
          <xdr:row>2</xdr:row>
          <xdr:rowOff>9525</xdr:rowOff>
        </xdr:to>
        <xdr:sp macro="" textlink="">
          <xdr:nvSpPr>
            <xdr:cNvPr id="201021" name="Button 48445" hidden="1">
              <a:extLst>
                <a:ext uri="{63B3BB69-23CF-44E3-9099-C40C66FF867C}">
                  <a14:compatExt spid="_x0000_s201021"/>
                </a:ext>
                <a:ext uri="{FF2B5EF4-FFF2-40B4-BE49-F238E27FC236}">
                  <a16:creationId xmlns:a16="http://schemas.microsoft.com/office/drawing/2014/main" id="{00000000-0008-0000-0300-00003D11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Perform Calculation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0</xdr:row>
          <xdr:rowOff>0</xdr:rowOff>
        </xdr:from>
        <xdr:to>
          <xdr:col>15</xdr:col>
          <xdr:colOff>371475</xdr:colOff>
          <xdr:row>2</xdr:row>
          <xdr:rowOff>9525</xdr:rowOff>
        </xdr:to>
        <xdr:sp macro="" textlink="">
          <xdr:nvSpPr>
            <xdr:cNvPr id="201022" name="Button 48446" hidden="1">
              <a:extLst>
                <a:ext uri="{63B3BB69-23CF-44E3-9099-C40C66FF867C}">
                  <a14:compatExt spid="_x0000_s201022"/>
                </a:ext>
                <a:ext uri="{FF2B5EF4-FFF2-40B4-BE49-F238E27FC236}">
                  <a16:creationId xmlns:a16="http://schemas.microsoft.com/office/drawing/2014/main" id="{00000000-0008-0000-0300-00003E11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Store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0</xdr:row>
          <xdr:rowOff>0</xdr:rowOff>
        </xdr:from>
        <xdr:to>
          <xdr:col>19</xdr:col>
          <xdr:colOff>371475</xdr:colOff>
          <xdr:row>2</xdr:row>
          <xdr:rowOff>9525</xdr:rowOff>
        </xdr:to>
        <xdr:sp macro="" textlink="">
          <xdr:nvSpPr>
            <xdr:cNvPr id="201023" name="Button 48447" hidden="1">
              <a:extLst>
                <a:ext uri="{63B3BB69-23CF-44E3-9099-C40C66FF867C}">
                  <a14:compatExt spid="_x0000_s201023"/>
                </a:ext>
                <a:ext uri="{FF2B5EF4-FFF2-40B4-BE49-F238E27FC236}">
                  <a16:creationId xmlns:a16="http://schemas.microsoft.com/office/drawing/2014/main" id="{00000000-0008-0000-0300-00003F11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Load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0</xdr:row>
          <xdr:rowOff>0</xdr:rowOff>
        </xdr:from>
        <xdr:to>
          <xdr:col>23</xdr:col>
          <xdr:colOff>361950</xdr:colOff>
          <xdr:row>2</xdr:row>
          <xdr:rowOff>9525</xdr:rowOff>
        </xdr:to>
        <xdr:sp macro="" textlink="">
          <xdr:nvSpPr>
            <xdr:cNvPr id="201024" name="Button 48448" hidden="1">
              <a:extLst>
                <a:ext uri="{63B3BB69-23CF-44E3-9099-C40C66FF867C}">
                  <a14:compatExt spid="_x0000_s201024"/>
                </a:ext>
                <a:ext uri="{FF2B5EF4-FFF2-40B4-BE49-F238E27FC236}">
                  <a16:creationId xmlns:a16="http://schemas.microsoft.com/office/drawing/2014/main" id="{00000000-0008-0000-0300-00004011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Clear Results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30480</xdr:rowOff>
    </xdr:from>
    <xdr:to>
      <xdr:col>15</xdr:col>
      <xdr:colOff>0</xdr:colOff>
      <xdr:row>2</xdr:row>
      <xdr:rowOff>0</xdr:rowOff>
    </xdr:to>
    <xdr:sp macro="" textlink="">
      <xdr:nvSpPr>
        <xdr:cNvPr id="68" name="Textfeld 67">
          <a:extLst>
            <a:ext uri="{FF2B5EF4-FFF2-40B4-BE49-F238E27FC236}">
              <a16:creationId xmlns:a16="http://schemas.microsoft.com/office/drawing/2014/main" id="{00000000-0008-0000-0700-000044000000}"/>
            </a:ext>
          </a:extLst>
        </xdr:cNvPr>
        <xdr:cNvSpPr txBox="1"/>
      </xdr:nvSpPr>
      <xdr:spPr>
        <a:xfrm>
          <a:off x="0" y="30480"/>
          <a:ext cx="5715000" cy="4953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400" b="1" i="0" u="sng" strike="noStrike">
              <a:solidFill>
                <a:schemeClr val="dk1"/>
              </a:solidFill>
              <a:effectLst/>
              <a:latin typeface="+mn-lt"/>
              <a:ea typeface="+mn-ea"/>
              <a:cs typeface="+mn-cs"/>
            </a:rPr>
            <a:t>Graphical Results - Plots and Data</a:t>
          </a:r>
          <a:r>
            <a:rPr lang="en-GB" sz="2400" u="sng"/>
            <a:t> </a:t>
          </a:r>
        </a:p>
      </xdr:txBody>
    </xdr:sp>
    <xdr:clientData/>
  </xdr:twoCellAnchor>
  <xdr:twoCellAnchor>
    <xdr:from>
      <xdr:col>1</xdr:col>
      <xdr:colOff>22860</xdr:colOff>
      <xdr:row>3</xdr:row>
      <xdr:rowOff>7620</xdr:rowOff>
    </xdr:from>
    <xdr:to>
      <xdr:col>15</xdr:col>
      <xdr:colOff>22860</xdr:colOff>
      <xdr:row>23</xdr:row>
      <xdr:rowOff>5715</xdr:rowOff>
    </xdr:to>
    <xdr:graphicFrame macro="">
      <xdr:nvGraphicFramePr>
        <xdr:cNvPr id="15" name="ESM System Mass">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24</xdr:row>
      <xdr:rowOff>0</xdr:rowOff>
    </xdr:from>
    <xdr:to>
      <xdr:col>15</xdr:col>
      <xdr:colOff>0</xdr:colOff>
      <xdr:row>44</xdr:row>
      <xdr:rowOff>152400</xdr:rowOff>
    </xdr:to>
    <xdr:graphicFrame macro="">
      <xdr:nvGraphicFramePr>
        <xdr:cNvPr id="16" name="ECLSS ESM Composition">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31</xdr:col>
      <xdr:colOff>0</xdr:colOff>
      <xdr:row>3</xdr:row>
      <xdr:rowOff>9525</xdr:rowOff>
    </xdr:from>
    <xdr:to>
      <xdr:col>43</xdr:col>
      <xdr:colOff>0</xdr:colOff>
      <xdr:row>23</xdr:row>
      <xdr:rowOff>0</xdr:rowOff>
    </xdr:to>
    <xdr:graphicFrame macro="">
      <xdr:nvGraphicFramePr>
        <xdr:cNvPr id="17" name="CO2 Partial Pressure">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114300</xdr:colOff>
      <xdr:row>3</xdr:row>
      <xdr:rowOff>9525</xdr:rowOff>
    </xdr:from>
    <xdr:to>
      <xdr:col>30</xdr:col>
      <xdr:colOff>0</xdr:colOff>
      <xdr:row>23</xdr:row>
      <xdr:rowOff>0</xdr:rowOff>
    </xdr:to>
    <xdr:graphicFrame macro="">
      <xdr:nvGraphicFramePr>
        <xdr:cNvPr id="18" name="CO2 Production">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133350</xdr:colOff>
      <xdr:row>24</xdr:row>
      <xdr:rowOff>0</xdr:rowOff>
    </xdr:from>
    <xdr:to>
      <xdr:col>30</xdr:col>
      <xdr:colOff>0</xdr:colOff>
      <xdr:row>44</xdr:row>
      <xdr:rowOff>152400</xdr:rowOff>
    </xdr:to>
    <xdr:graphicFrame macro="">
      <xdr:nvGraphicFramePr>
        <xdr:cNvPr id="19" name="O2 Needs">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31</xdr:col>
      <xdr:colOff>0</xdr:colOff>
      <xdr:row>24</xdr:row>
      <xdr:rowOff>0</xdr:rowOff>
    </xdr:from>
    <xdr:to>
      <xdr:col>43</xdr:col>
      <xdr:colOff>0</xdr:colOff>
      <xdr:row>44</xdr:row>
      <xdr:rowOff>152400</xdr:rowOff>
    </xdr:to>
    <xdr:graphicFrame macro="">
      <xdr:nvGraphicFramePr>
        <xdr:cNvPr id="20" name="O2 Partial Pressure">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31</xdr:col>
      <xdr:colOff>0</xdr:colOff>
      <xdr:row>47</xdr:row>
      <xdr:rowOff>171450</xdr:rowOff>
    </xdr:from>
    <xdr:to>
      <xdr:col>43</xdr:col>
      <xdr:colOff>0</xdr:colOff>
      <xdr:row>69</xdr:row>
      <xdr:rowOff>0</xdr:rowOff>
    </xdr:to>
    <xdr:graphicFrame macro="">
      <xdr:nvGraphicFramePr>
        <xdr:cNvPr id="21" name="Potable and Hygiene Water Needs">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66674</xdr:colOff>
      <xdr:row>48</xdr:row>
      <xdr:rowOff>0</xdr:rowOff>
    </xdr:from>
    <xdr:to>
      <xdr:col>29</xdr:col>
      <xdr:colOff>380999</xdr:colOff>
      <xdr:row>69</xdr:row>
      <xdr:rowOff>0</xdr:rowOff>
    </xdr:to>
    <xdr:graphicFrame macro="">
      <xdr:nvGraphicFramePr>
        <xdr:cNvPr id="22" name="Daily WW and Urine Production">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48</xdr:row>
      <xdr:rowOff>38100</xdr:rowOff>
    </xdr:from>
    <xdr:to>
      <xdr:col>15</xdr:col>
      <xdr:colOff>0</xdr:colOff>
      <xdr:row>69</xdr:row>
      <xdr:rowOff>0</xdr:rowOff>
    </xdr:to>
    <xdr:graphicFrame macro="">
      <xdr:nvGraphicFramePr>
        <xdr:cNvPr id="11" name="O2 Needs">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777240</xdr:colOff>
      <xdr:row>1</xdr:row>
      <xdr:rowOff>30480</xdr:rowOff>
    </xdr:from>
    <xdr:to>
      <xdr:col>11</xdr:col>
      <xdr:colOff>476250</xdr:colOff>
      <xdr:row>3</xdr:row>
      <xdr:rowOff>144780</xdr:rowOff>
    </xdr:to>
    <xdr:sp macro="" textlink="">
      <xdr:nvSpPr>
        <xdr:cNvPr id="2" name="Textfeld 1">
          <a:extLst>
            <a:ext uri="{FF2B5EF4-FFF2-40B4-BE49-F238E27FC236}">
              <a16:creationId xmlns:a16="http://schemas.microsoft.com/office/drawing/2014/main" id="{00000000-0008-0000-0800-000002000000}"/>
            </a:ext>
          </a:extLst>
        </xdr:cNvPr>
        <xdr:cNvSpPr txBox="1"/>
      </xdr:nvSpPr>
      <xdr:spPr>
        <a:xfrm>
          <a:off x="5196840" y="220980"/>
          <a:ext cx="4842510" cy="4953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400" b="1" i="0" u="sng" strike="noStrike">
              <a:solidFill>
                <a:schemeClr val="dk1"/>
              </a:solidFill>
              <a:effectLst/>
              <a:latin typeface="+mn-lt"/>
              <a:ea typeface="+mn-ea"/>
              <a:cs typeface="+mn-cs"/>
            </a:rPr>
            <a:t>Models for </a:t>
          </a:r>
          <a:r>
            <a:rPr lang="en-GB" sz="2400" b="1" i="0" u="sng">
              <a:solidFill>
                <a:schemeClr val="dk1"/>
              </a:solidFill>
              <a:effectLst/>
              <a:latin typeface="+mn-lt"/>
              <a:ea typeface="+mn-ea"/>
              <a:cs typeface="+mn-cs"/>
            </a:rPr>
            <a:t>Resupply and Logistics </a:t>
          </a:r>
          <a:endParaRPr lang="en-GB" sz="2400" u="sng"/>
        </a:p>
      </xdr:txBody>
    </xdr:sp>
    <xdr:clientData/>
  </xdr:twoCellAnchor>
  <xdr:twoCellAnchor>
    <xdr:from>
      <xdr:col>5</xdr:col>
      <xdr:colOff>769620</xdr:colOff>
      <xdr:row>5</xdr:row>
      <xdr:rowOff>114300</xdr:rowOff>
    </xdr:from>
    <xdr:to>
      <xdr:col>9</xdr:col>
      <xdr:colOff>807720</xdr:colOff>
      <xdr:row>6</xdr:row>
      <xdr:rowOff>274320</xdr:rowOff>
    </xdr:to>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5318760" y="1028700"/>
          <a:ext cx="3573780" cy="35052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0" i="0" u="sng" strike="noStrike">
              <a:solidFill>
                <a:schemeClr val="dk1"/>
              </a:solidFill>
              <a:effectLst/>
              <a:latin typeface="+mn-lt"/>
              <a:ea typeface="+mn-ea"/>
              <a:cs typeface="+mn-cs"/>
            </a:rPr>
            <a:t>Consumables and necessary</a:t>
          </a:r>
          <a:r>
            <a:rPr lang="en-GB" sz="1400" b="0" i="0" u="sng" strike="noStrike" baseline="0">
              <a:solidFill>
                <a:schemeClr val="dk1"/>
              </a:solidFill>
              <a:effectLst/>
              <a:latin typeface="+mn-lt"/>
              <a:ea typeface="+mn-ea"/>
              <a:cs typeface="+mn-cs"/>
            </a:rPr>
            <a:t> resupply masses</a:t>
          </a:r>
          <a:endParaRPr lang="en-GB" sz="1400" b="0" u="sng"/>
        </a:p>
      </xdr:txBody>
    </xdr:sp>
    <xdr:clientData/>
  </xdr:twoCellAnchor>
  <mc:AlternateContent xmlns:mc="http://schemas.openxmlformats.org/markup-compatibility/2006">
    <mc:Choice xmlns:a14="http://schemas.microsoft.com/office/drawing/2010/main" Requires="a14">
      <xdr:twoCellAnchor>
        <xdr:from>
          <xdr:col>2</xdr:col>
          <xdr:colOff>600075</xdr:colOff>
          <xdr:row>4</xdr:row>
          <xdr:rowOff>28575</xdr:rowOff>
        </xdr:from>
        <xdr:to>
          <xdr:col>4</xdr:col>
          <xdr:colOff>333375</xdr:colOff>
          <xdr:row>6</xdr:row>
          <xdr:rowOff>9525</xdr:rowOff>
        </xdr:to>
        <xdr:sp macro="" textlink="">
          <xdr:nvSpPr>
            <xdr:cNvPr id="44033" name="Perform_Analysis" hidden="1">
              <a:extLst>
                <a:ext uri="{63B3BB69-23CF-44E3-9099-C40C66FF867C}">
                  <a14:compatExt spid="_x0000_s44033"/>
                </a:ext>
                <a:ext uri="{FF2B5EF4-FFF2-40B4-BE49-F238E27FC236}">
                  <a16:creationId xmlns:a16="http://schemas.microsoft.com/office/drawing/2014/main" id="{00000000-0008-0000-0900-000001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Perform Analysis</a:t>
              </a:r>
            </a:p>
          </xdr:txBody>
        </xdr:sp>
        <xdr:clientData fPrintsWithSheet="0"/>
      </xdr:twoCellAnchor>
    </mc:Choice>
    <mc:Fallback/>
  </mc:AlternateContent>
  <xdr:twoCellAnchor>
    <xdr:from>
      <xdr:col>0</xdr:col>
      <xdr:colOff>28575</xdr:colOff>
      <xdr:row>11</xdr:row>
      <xdr:rowOff>93344</xdr:rowOff>
    </xdr:from>
    <xdr:to>
      <xdr:col>4</xdr:col>
      <xdr:colOff>678180</xdr:colOff>
      <xdr:row>31</xdr:row>
      <xdr:rowOff>190500</xdr:rowOff>
    </xdr:to>
    <xdr:sp macro="" textlink="">
      <xdr:nvSpPr>
        <xdr:cNvPr id="4" name="Instruction">
          <a:extLst>
            <a:ext uri="{FF2B5EF4-FFF2-40B4-BE49-F238E27FC236}">
              <a16:creationId xmlns:a16="http://schemas.microsoft.com/office/drawing/2014/main" id="{00000000-0008-0000-0800-000004000000}"/>
            </a:ext>
          </a:extLst>
        </xdr:cNvPr>
        <xdr:cNvSpPr txBox="1"/>
      </xdr:nvSpPr>
      <xdr:spPr>
        <a:xfrm>
          <a:off x="28575" y="3027044"/>
          <a:ext cx="4314825" cy="7046596"/>
        </a:xfrm>
        <a:prstGeom prst="rect">
          <a:avLst/>
        </a:prstGeom>
        <a:solidFill>
          <a:schemeClr val="lt1"/>
        </a:solidFill>
        <a:ln w="9525" cmpd="sng">
          <a:solidFill>
            <a:srgbClr val="00206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just" defTabSz="914400" eaLnBrk="1" fontAlgn="auto" latinLnBrk="0" hangingPunct="1">
            <a:lnSpc>
              <a:spcPct val="100000"/>
            </a:lnSpc>
            <a:spcBef>
              <a:spcPts val="0"/>
            </a:spcBef>
            <a:spcAft>
              <a:spcPts val="0"/>
            </a:spcAft>
            <a:buClrTx/>
            <a:buSzTx/>
            <a:buFontTx/>
            <a:buNone/>
            <a:tabLst/>
            <a:defRPr/>
          </a:pPr>
          <a:r>
            <a:rPr lang="en-GB" sz="1100" baseline="0">
              <a:solidFill>
                <a:schemeClr val="dk1"/>
              </a:solidFill>
              <a:effectLst/>
              <a:latin typeface="+mn-lt"/>
              <a:ea typeface="+mn-ea"/>
              <a:cs typeface="+mn-cs"/>
            </a:rPr>
            <a:t>The resupply modelling approach uses the resupply and spare part demand from the selected ECLSS shown in the Output Data sheet.  </a:t>
          </a:r>
          <a:r>
            <a:rPr lang="en-GB" sz="1100" b="1" u="sng" baseline="0">
              <a:solidFill>
                <a:schemeClr val="dk1"/>
              </a:solidFill>
              <a:effectLst/>
              <a:latin typeface="+mn-lt"/>
              <a:ea typeface="+mn-ea"/>
              <a:cs typeface="+mn-cs"/>
            </a:rPr>
            <a:t>Note:</a:t>
          </a:r>
          <a:r>
            <a:rPr lang="en-GB" sz="1100" baseline="0">
              <a:solidFill>
                <a:schemeClr val="dk1"/>
              </a:solidFill>
              <a:effectLst/>
              <a:latin typeface="+mn-lt"/>
              <a:ea typeface="+mn-ea"/>
              <a:cs typeface="+mn-cs"/>
            </a:rPr>
            <a:t> If desired, the user can define an amount of initial consumables available on the station (left overs from previous missions) over the "Initial Consumables" UI, thereby reducing the amount of consumables that would have to be brought along otherwise.</a:t>
          </a:r>
          <a:endParaRPr lang="en-GB" sz="1100" b="1" u="sng"/>
        </a:p>
        <a:p>
          <a:pPr algn="just"/>
          <a:endParaRPr lang="en-GB" sz="800" b="0" u="none"/>
        </a:p>
        <a:p>
          <a:pPr algn="just"/>
          <a:r>
            <a:rPr lang="en-GB" sz="1100" b="1" u="sng"/>
            <a:t>Step 1:</a:t>
          </a:r>
          <a:r>
            <a:rPr lang="en-GB" sz="1100"/>
            <a:t> Define the scope of your campaign by choosing the total amount of crewed missions to be performed on the station</a:t>
          </a:r>
          <a:r>
            <a:rPr lang="en-GB" sz="1100" baseline="0"/>
            <a:t> via the "Perform Analysis" UI. Within the table "Consumables and necessary resupply masses" the values for mission duration, crew size and transport capability (meaning the amount of cargo one resupply flight can deliever to the station) need to be adjusted before proceeding. If the mission required more resupply than can be transported, additional cargo only missions are added before the crewed mission. Currently only architectures with identical cargo capacity for each flight are implemented.</a:t>
          </a:r>
        </a:p>
        <a:p>
          <a:pPr algn="just"/>
          <a:endParaRPr lang="en-GB" sz="800" baseline="0"/>
        </a:p>
        <a:p>
          <a:pPr algn="just"/>
          <a:r>
            <a:rPr lang="en-GB" sz="1100" b="1" u="sng">
              <a:solidFill>
                <a:schemeClr val="dk1"/>
              </a:solidFill>
              <a:effectLst/>
              <a:latin typeface="+mn-lt"/>
              <a:ea typeface="+mn-ea"/>
              <a:cs typeface="+mn-cs"/>
            </a:rPr>
            <a:t>Step 2:</a:t>
          </a:r>
          <a:r>
            <a:rPr lang="en-GB" sz="1100" b="0" u="none" baseline="0">
              <a:solidFill>
                <a:schemeClr val="dk1"/>
              </a:solidFill>
              <a:effectLst/>
              <a:latin typeface="+mn-lt"/>
              <a:ea typeface="+mn-ea"/>
              <a:cs typeface="+mn-cs"/>
            </a:rPr>
            <a:t> Over the "</a:t>
          </a:r>
          <a:r>
            <a:rPr lang="en-GB" sz="1100" b="0" baseline="0">
              <a:solidFill>
                <a:schemeClr val="dk1"/>
              </a:solidFill>
              <a:effectLst/>
              <a:latin typeface="+mn-lt"/>
              <a:ea typeface="+mn-ea"/>
              <a:cs typeface="+mn-cs"/>
            </a:rPr>
            <a:t>Adjust</a:t>
          </a:r>
          <a:r>
            <a:rPr lang="en-GB" sz="1100" b="0" u="none" baseline="0">
              <a:solidFill>
                <a:schemeClr val="dk1"/>
              </a:solidFill>
              <a:effectLst/>
              <a:latin typeface="+mn-lt"/>
              <a:ea typeface="+mn-ea"/>
              <a:cs typeface="+mn-cs"/>
            </a:rPr>
            <a:t> Payload Mass" UI additional payload and cargo can be added to the total mission mass. </a:t>
          </a:r>
        </a:p>
        <a:p>
          <a:pPr algn="just"/>
          <a:endParaRPr lang="en-GB" sz="1100" b="0" u="none" baseline="0">
            <a:solidFill>
              <a:schemeClr val="dk1"/>
            </a:solidFill>
            <a:effectLst/>
            <a:latin typeface="+mn-lt"/>
            <a:ea typeface="+mn-ea"/>
            <a:cs typeface="+mn-cs"/>
          </a:endParaRPr>
        </a:p>
        <a:p>
          <a:pPr marL="0" marR="0" lvl="0" indent="0" algn="just" defTabSz="914400" eaLnBrk="1" fontAlgn="auto" latinLnBrk="0" hangingPunct="1">
            <a:lnSpc>
              <a:spcPct val="100000"/>
            </a:lnSpc>
            <a:spcBef>
              <a:spcPts val="0"/>
            </a:spcBef>
            <a:spcAft>
              <a:spcPts val="0"/>
            </a:spcAft>
            <a:buClrTx/>
            <a:buSzTx/>
            <a:buFontTx/>
            <a:buNone/>
            <a:tabLst/>
            <a:defRPr/>
          </a:pPr>
          <a:r>
            <a:rPr lang="en-GB" sz="1100" b="1" u="sng" baseline="0">
              <a:solidFill>
                <a:schemeClr val="dk1"/>
              </a:solidFill>
              <a:effectLst/>
              <a:latin typeface="+mn-lt"/>
              <a:ea typeface="+mn-ea"/>
              <a:cs typeface="+mn-cs"/>
            </a:rPr>
            <a:t>Step 3: </a:t>
          </a:r>
          <a:r>
            <a:rPr lang="en-GB" sz="1100" b="0" u="none" baseline="0">
              <a:solidFill>
                <a:schemeClr val="dk1"/>
              </a:solidFill>
              <a:effectLst/>
              <a:latin typeface="+mn-lt"/>
              <a:ea typeface="+mn-ea"/>
              <a:cs typeface="+mn-cs"/>
            </a:rPr>
            <a:t>Via the "Adjust Supply" UI the resupply of the required consumables can be moved between different flight. E.g. supplying all the N2 in the first flight, all the O2 in the second flight and so on.</a:t>
          </a:r>
        </a:p>
        <a:p>
          <a:pPr algn="just"/>
          <a:endParaRPr lang="en-GB" sz="800" b="0" u="none" baseline="0">
            <a:solidFill>
              <a:schemeClr val="dk1"/>
            </a:solidFill>
            <a:effectLst/>
            <a:latin typeface="+mn-lt"/>
            <a:ea typeface="+mn-ea"/>
            <a:cs typeface="+mn-cs"/>
          </a:endParaRPr>
        </a:p>
        <a:p>
          <a:pPr algn="just"/>
          <a:r>
            <a:rPr lang="en-GB" sz="1100" b="1" u="sng" baseline="0">
              <a:solidFill>
                <a:schemeClr val="dk1"/>
              </a:solidFill>
              <a:effectLst/>
              <a:latin typeface="+mn-lt"/>
              <a:ea typeface="+mn-ea"/>
              <a:cs typeface="+mn-cs"/>
            </a:rPr>
            <a:t>Step 4:</a:t>
          </a:r>
          <a:r>
            <a:rPr lang="en-GB" sz="1100" b="0" u="none" baseline="0">
              <a:solidFill>
                <a:schemeClr val="dk1"/>
              </a:solidFill>
              <a:effectLst/>
              <a:latin typeface="+mn-lt"/>
              <a:ea typeface="+mn-ea"/>
              <a:cs typeface="+mn-cs"/>
            </a:rPr>
            <a:t> Via the "Plot Resupply Matrix" UI a resupply matrix correspon-ding to the campaign design is generated. The values for and mission mass left and cargo mass left indicate whether and how much required misson mass is remaining (positive values shaded red mean a mission is not fully serviced) and whether to what extent a flight has transportation capabilities left to be used.</a:t>
          </a:r>
        </a:p>
        <a:p>
          <a:pPr algn="just"/>
          <a:r>
            <a:rPr lang="en-GB" sz="1100" b="0" u="none" baseline="0">
              <a:solidFill>
                <a:schemeClr val="dk1"/>
              </a:solidFill>
              <a:effectLst/>
              <a:latin typeface="+mn-lt"/>
              <a:ea typeface="+mn-ea"/>
              <a:cs typeface="+mn-cs"/>
            </a:rPr>
            <a:t>In addition the flight criticality matrix and path are ploted for the campaing to show if any flights are highly critical for the overall architecture</a:t>
          </a:r>
        </a:p>
      </xdr:txBody>
    </xdr:sp>
    <xdr:clientData/>
  </xdr:twoCellAnchor>
  <mc:AlternateContent xmlns:mc="http://schemas.openxmlformats.org/markup-compatibility/2006">
    <mc:Choice xmlns:a14="http://schemas.microsoft.com/office/drawing/2010/main" Requires="a14">
      <xdr:twoCellAnchor>
        <xdr:from>
          <xdr:col>2</xdr:col>
          <xdr:colOff>600075</xdr:colOff>
          <xdr:row>9</xdr:row>
          <xdr:rowOff>0</xdr:rowOff>
        </xdr:from>
        <xdr:to>
          <xdr:col>4</xdr:col>
          <xdr:colOff>333375</xdr:colOff>
          <xdr:row>9</xdr:row>
          <xdr:rowOff>352425</xdr:rowOff>
        </xdr:to>
        <xdr:sp macro="" textlink="">
          <xdr:nvSpPr>
            <xdr:cNvPr id="44034" name="Plot_Resupply_matrix" hidden="1">
              <a:extLst>
                <a:ext uri="{63B3BB69-23CF-44E3-9099-C40C66FF867C}">
                  <a14:compatExt spid="_x0000_s44034"/>
                </a:ext>
                <a:ext uri="{FF2B5EF4-FFF2-40B4-BE49-F238E27FC236}">
                  <a16:creationId xmlns:a16="http://schemas.microsoft.com/office/drawing/2014/main" id="{00000000-0008-0000-0900-000002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Plot Resupply Matrix</a:t>
              </a:r>
            </a:p>
          </xdr:txBody>
        </xdr:sp>
        <xdr:clientData fPrintsWithSheet="0"/>
      </xdr:twoCellAnchor>
    </mc:Choice>
    <mc:Fallback/>
  </mc:AlternateContent>
  <xdr:twoCellAnchor>
    <xdr:from>
      <xdr:col>0</xdr:col>
      <xdr:colOff>17145</xdr:colOff>
      <xdr:row>32</xdr:row>
      <xdr:rowOff>0</xdr:rowOff>
    </xdr:from>
    <xdr:to>
      <xdr:col>1</xdr:col>
      <xdr:colOff>920115</xdr:colOff>
      <xdr:row>32</xdr:row>
      <xdr:rowOff>346710</xdr:rowOff>
    </xdr:to>
    <xdr:sp macro="" textlink="">
      <xdr:nvSpPr>
        <xdr:cNvPr id="8" name="Label_Resupply_Matrix">
          <a:extLst>
            <a:ext uri="{FF2B5EF4-FFF2-40B4-BE49-F238E27FC236}">
              <a16:creationId xmlns:a16="http://schemas.microsoft.com/office/drawing/2014/main" id="{00000000-0008-0000-0800-000008000000}"/>
            </a:ext>
          </a:extLst>
        </xdr:cNvPr>
        <xdr:cNvSpPr txBox="1"/>
      </xdr:nvSpPr>
      <xdr:spPr>
        <a:xfrm>
          <a:off x="17145" y="9467850"/>
          <a:ext cx="1817370" cy="34671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0" i="0" u="sng" strike="noStrike">
              <a:solidFill>
                <a:schemeClr val="dk1"/>
              </a:solidFill>
              <a:effectLst/>
              <a:latin typeface="+mn-lt"/>
              <a:ea typeface="+mn-ea"/>
              <a:cs typeface="+mn-cs"/>
            </a:rPr>
            <a:t>Resupply Mass Matrix</a:t>
          </a:r>
          <a:endParaRPr lang="en-GB" sz="1400" b="0" u="sng"/>
        </a:p>
      </xdr:txBody>
    </xdr:sp>
    <xdr:clientData/>
  </xdr:twoCellAnchor>
  <mc:AlternateContent xmlns:mc="http://schemas.openxmlformats.org/markup-compatibility/2006">
    <mc:Choice xmlns:a14="http://schemas.microsoft.com/office/drawing/2010/main" Requires="a14">
      <xdr:twoCellAnchor>
        <xdr:from>
          <xdr:col>2</xdr:col>
          <xdr:colOff>600075</xdr:colOff>
          <xdr:row>7</xdr:row>
          <xdr:rowOff>28575</xdr:rowOff>
        </xdr:from>
        <xdr:to>
          <xdr:col>4</xdr:col>
          <xdr:colOff>333375</xdr:colOff>
          <xdr:row>8</xdr:row>
          <xdr:rowOff>9525</xdr:rowOff>
        </xdr:to>
        <xdr:sp macro="" textlink="">
          <xdr:nvSpPr>
            <xdr:cNvPr id="44036" name="Addpayload" hidden="1">
              <a:extLst>
                <a:ext uri="{63B3BB69-23CF-44E3-9099-C40C66FF867C}">
                  <a14:compatExt spid="_x0000_s44036"/>
                </a:ext>
                <a:ext uri="{FF2B5EF4-FFF2-40B4-BE49-F238E27FC236}">
                  <a16:creationId xmlns:a16="http://schemas.microsoft.com/office/drawing/2014/main" id="{00000000-0008-0000-0900-000004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Adjust Payload Mass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7</xdr:row>
          <xdr:rowOff>28575</xdr:rowOff>
        </xdr:from>
        <xdr:to>
          <xdr:col>1</xdr:col>
          <xdr:colOff>600075</xdr:colOff>
          <xdr:row>8</xdr:row>
          <xdr:rowOff>9525</xdr:rowOff>
        </xdr:to>
        <xdr:sp macro="" textlink="">
          <xdr:nvSpPr>
            <xdr:cNvPr id="44038" name="Plot_Resupply_matrix" hidden="1">
              <a:extLst>
                <a:ext uri="{63B3BB69-23CF-44E3-9099-C40C66FF867C}">
                  <a14:compatExt spid="_x0000_s44038"/>
                </a:ext>
                <a:ext uri="{FF2B5EF4-FFF2-40B4-BE49-F238E27FC236}">
                  <a16:creationId xmlns:a16="http://schemas.microsoft.com/office/drawing/2014/main" id="{00000000-0008-0000-0900-000006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Show 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8</xdr:row>
          <xdr:rowOff>28575</xdr:rowOff>
        </xdr:from>
        <xdr:to>
          <xdr:col>1</xdr:col>
          <xdr:colOff>600075</xdr:colOff>
          <xdr:row>9</xdr:row>
          <xdr:rowOff>9525</xdr:rowOff>
        </xdr:to>
        <xdr:sp macro="" textlink="">
          <xdr:nvSpPr>
            <xdr:cNvPr id="44039" name="Plot_Resupply_matrix" hidden="1">
              <a:extLst>
                <a:ext uri="{63B3BB69-23CF-44E3-9099-C40C66FF867C}">
                  <a14:compatExt spid="_x0000_s44039"/>
                </a:ext>
                <a:ext uri="{FF2B5EF4-FFF2-40B4-BE49-F238E27FC236}">
                  <a16:creationId xmlns:a16="http://schemas.microsoft.com/office/drawing/2014/main" id="{00000000-0008-0000-0900-000007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Hide 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6</xdr:row>
          <xdr:rowOff>28575</xdr:rowOff>
        </xdr:from>
        <xdr:to>
          <xdr:col>4</xdr:col>
          <xdr:colOff>333375</xdr:colOff>
          <xdr:row>7</xdr:row>
          <xdr:rowOff>9525</xdr:rowOff>
        </xdr:to>
        <xdr:sp macro="" textlink="">
          <xdr:nvSpPr>
            <xdr:cNvPr id="44040" name="Initial_Consumables" hidden="1">
              <a:extLst>
                <a:ext uri="{63B3BB69-23CF-44E3-9099-C40C66FF867C}">
                  <a14:compatExt spid="_x0000_s44040"/>
                </a:ext>
                <a:ext uri="{FF2B5EF4-FFF2-40B4-BE49-F238E27FC236}">
                  <a16:creationId xmlns:a16="http://schemas.microsoft.com/office/drawing/2014/main" id="{00000000-0008-0000-0900-000008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Initial Consumables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600075</xdr:colOff>
          <xdr:row>1</xdr:row>
          <xdr:rowOff>180975</xdr:rowOff>
        </xdr:from>
        <xdr:to>
          <xdr:col>2</xdr:col>
          <xdr:colOff>838200</xdr:colOff>
          <xdr:row>3</xdr:row>
          <xdr:rowOff>28575</xdr:rowOff>
        </xdr:to>
        <xdr:sp macro="" textlink="">
          <xdr:nvSpPr>
            <xdr:cNvPr id="44042" name="Check_Box_Crew" hidden="1">
              <a:extLst>
                <a:ext uri="{63B3BB69-23CF-44E3-9099-C40C66FF867C}">
                  <a14:compatExt spid="_x0000_s44042"/>
                </a:ext>
                <a:ext uri="{FF2B5EF4-FFF2-40B4-BE49-F238E27FC236}">
                  <a16:creationId xmlns:a16="http://schemas.microsoft.com/office/drawing/2014/main" id="{00000000-0008-0000-0900-00000AA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600075</xdr:colOff>
          <xdr:row>8</xdr:row>
          <xdr:rowOff>28575</xdr:rowOff>
        </xdr:from>
        <xdr:to>
          <xdr:col>4</xdr:col>
          <xdr:colOff>333375</xdr:colOff>
          <xdr:row>9</xdr:row>
          <xdr:rowOff>9525</xdr:rowOff>
        </xdr:to>
        <xdr:sp macro="" textlink="">
          <xdr:nvSpPr>
            <xdr:cNvPr id="44043" name="Plot_Resupply_matrix" hidden="1">
              <a:extLst>
                <a:ext uri="{63B3BB69-23CF-44E3-9099-C40C66FF867C}">
                  <a14:compatExt spid="_x0000_s44043"/>
                </a:ext>
                <a:ext uri="{FF2B5EF4-FFF2-40B4-BE49-F238E27FC236}">
                  <a16:creationId xmlns:a16="http://schemas.microsoft.com/office/drawing/2014/main" id="{00000000-0008-0000-0900-00000B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Adjust Supply</a:t>
              </a:r>
            </a:p>
          </xdr:txBody>
        </xdr:sp>
        <xdr:clientData fPrintsWithSheet="0"/>
      </xdr:twoCellAnchor>
    </mc:Choice>
    <mc:Fallback/>
  </mc:AlternateContent>
  <xdr:twoCellAnchor>
    <xdr:from>
      <xdr:col>0</xdr:col>
      <xdr:colOff>17145</xdr:colOff>
      <xdr:row>32</xdr:row>
      <xdr:rowOff>0</xdr:rowOff>
    </xdr:from>
    <xdr:to>
      <xdr:col>1</xdr:col>
      <xdr:colOff>920115</xdr:colOff>
      <xdr:row>32</xdr:row>
      <xdr:rowOff>346710</xdr:rowOff>
    </xdr:to>
    <xdr:sp macro="" textlink="">
      <xdr:nvSpPr>
        <xdr:cNvPr id="15" name="Label_Resupply_Matrix">
          <a:extLst>
            <a:ext uri="{FF2B5EF4-FFF2-40B4-BE49-F238E27FC236}">
              <a16:creationId xmlns:a16="http://schemas.microsoft.com/office/drawing/2014/main" id="{00000000-0008-0000-0800-00000F000000}"/>
            </a:ext>
          </a:extLst>
        </xdr:cNvPr>
        <xdr:cNvSpPr txBox="1"/>
      </xdr:nvSpPr>
      <xdr:spPr>
        <a:xfrm>
          <a:off x="17145" y="9467850"/>
          <a:ext cx="1817370" cy="34671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0" i="0" u="sng" strike="noStrike">
              <a:solidFill>
                <a:schemeClr val="dk1"/>
              </a:solidFill>
              <a:effectLst/>
              <a:latin typeface="+mn-lt"/>
              <a:ea typeface="+mn-ea"/>
              <a:cs typeface="+mn-cs"/>
            </a:rPr>
            <a:t>Resupply Mass Matrix</a:t>
          </a:r>
          <a:endParaRPr lang="en-GB" sz="1400" b="0" u="sng"/>
        </a:p>
      </xdr:txBody>
    </xdr:sp>
    <xdr:clientData/>
  </xdr:twoCellAnchor>
  <xdr:twoCellAnchor>
    <xdr:from>
      <xdr:col>8</xdr:col>
      <xdr:colOff>0</xdr:colOff>
      <xdr:row>37</xdr:row>
      <xdr:rowOff>0</xdr:rowOff>
    </xdr:from>
    <xdr:to>
      <xdr:col>13</xdr:col>
      <xdr:colOff>660400</xdr:colOff>
      <xdr:row>47</xdr:row>
      <xdr:rowOff>152400</xdr:rowOff>
    </xdr:to>
    <xdr:graphicFrame macro="">
      <xdr:nvGraphicFramePr>
        <xdr:cNvPr id="5" name="FCP">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54</xdr:row>
          <xdr:rowOff>9525</xdr:rowOff>
        </xdr:from>
        <xdr:to>
          <xdr:col>1</xdr:col>
          <xdr:colOff>304800</xdr:colOff>
          <xdr:row>56</xdr:row>
          <xdr:rowOff>9525</xdr:rowOff>
        </xdr:to>
        <xdr:sp macro="" textlink="">
          <xdr:nvSpPr>
            <xdr:cNvPr id="51814" name="Compose Schedule" hidden="1">
              <a:extLst>
                <a:ext uri="{63B3BB69-23CF-44E3-9099-C40C66FF867C}">
                  <a14:compatExt spid="_x0000_s51814"/>
                </a:ext>
                <a:ext uri="{FF2B5EF4-FFF2-40B4-BE49-F238E27FC236}">
                  <a16:creationId xmlns:a16="http://schemas.microsoft.com/office/drawing/2014/main" id="{00000000-0008-0000-0A00-000066CA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Compose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333375</xdr:colOff>
          <xdr:row>54</xdr:row>
          <xdr:rowOff>9525</xdr:rowOff>
        </xdr:from>
        <xdr:to>
          <xdr:col>2</xdr:col>
          <xdr:colOff>638175</xdr:colOff>
          <xdr:row>56</xdr:row>
          <xdr:rowOff>9525</xdr:rowOff>
        </xdr:to>
        <xdr:sp macro="" textlink="">
          <xdr:nvSpPr>
            <xdr:cNvPr id="79835" name="Check Schedule" hidden="1">
              <a:extLst>
                <a:ext uri="{63B3BB69-23CF-44E3-9099-C40C66FF867C}">
                  <a14:compatExt spid="_x0000_s79835"/>
                </a:ext>
                <a:ext uri="{FF2B5EF4-FFF2-40B4-BE49-F238E27FC236}">
                  <a16:creationId xmlns:a16="http://schemas.microsoft.com/office/drawing/2014/main" id="{00000000-0008-0000-0A00-0000DB37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Check Schedule</a:t>
              </a:r>
            </a:p>
          </xdr:txBody>
        </xdr:sp>
        <xdr:clientData fPrintsWithSheet="0"/>
      </xdr:twoCellAnchor>
    </mc:Choice>
    <mc:Fallback/>
  </mc:AlternateContent>
  <xdr:twoCellAnchor>
    <xdr:from>
      <xdr:col>5</xdr:col>
      <xdr:colOff>701040</xdr:colOff>
      <xdr:row>0</xdr:row>
      <xdr:rowOff>266700</xdr:rowOff>
    </xdr:from>
    <xdr:to>
      <xdr:col>7</xdr:col>
      <xdr:colOff>304800</xdr:colOff>
      <xdr:row>0</xdr:row>
      <xdr:rowOff>609600</xdr:rowOff>
    </xdr:to>
    <xdr:sp macro="" textlink="">
      <xdr:nvSpPr>
        <xdr:cNvPr id="2" name="Textfeld 1">
          <a:extLst>
            <a:ext uri="{FF2B5EF4-FFF2-40B4-BE49-F238E27FC236}">
              <a16:creationId xmlns:a16="http://schemas.microsoft.com/office/drawing/2014/main" id="{00000000-0008-0000-0300-000002000000}"/>
            </a:ext>
          </a:extLst>
        </xdr:cNvPr>
        <xdr:cNvSpPr txBox="1"/>
      </xdr:nvSpPr>
      <xdr:spPr>
        <a:xfrm>
          <a:off x="5897880" y="266700"/>
          <a:ext cx="1645920" cy="3429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Default Schedule</a:t>
          </a:r>
        </a:p>
      </xdr:txBody>
    </xdr:sp>
    <xdr:clientData/>
  </xdr:twoCellAnchor>
  <mc:AlternateContent xmlns:mc="http://schemas.openxmlformats.org/markup-compatibility/2006">
    <mc:Choice xmlns:a14="http://schemas.microsoft.com/office/drawing/2010/main" Requires="a14">
      <xdr:twoCellAnchor>
        <xdr:from>
          <xdr:col>12</xdr:col>
          <xdr:colOff>419100</xdr:colOff>
          <xdr:row>0</xdr:row>
          <xdr:rowOff>219075</xdr:rowOff>
        </xdr:from>
        <xdr:to>
          <xdr:col>12</xdr:col>
          <xdr:colOff>1562100</xdr:colOff>
          <xdr:row>0</xdr:row>
          <xdr:rowOff>600075</xdr:rowOff>
        </xdr:to>
        <xdr:sp macro="" textlink="">
          <xdr:nvSpPr>
            <xdr:cNvPr id="81837" name="Information_schedule" hidden="1">
              <a:extLst>
                <a:ext uri="{63B3BB69-23CF-44E3-9099-C40C66FF867C}">
                  <a14:compatExt spid="_x0000_s81837"/>
                </a:ext>
                <a:ext uri="{FF2B5EF4-FFF2-40B4-BE49-F238E27FC236}">
                  <a16:creationId xmlns:a16="http://schemas.microsoft.com/office/drawing/2014/main" id="{00000000-0008-0000-0A00-0000AD3F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904875</xdr:colOff>
          <xdr:row>124</xdr:row>
          <xdr:rowOff>66675</xdr:rowOff>
        </xdr:from>
        <xdr:to>
          <xdr:col>3</xdr:col>
          <xdr:colOff>180975</xdr:colOff>
          <xdr:row>126</xdr:row>
          <xdr:rowOff>66675</xdr:rowOff>
        </xdr:to>
        <xdr:sp macro="" textlink="">
          <xdr:nvSpPr>
            <xdr:cNvPr id="87305" name="Check Inputs" hidden="1">
              <a:extLst>
                <a:ext uri="{63B3BB69-23CF-44E3-9099-C40C66FF867C}">
                  <a14:compatExt spid="_x0000_s87305"/>
                </a:ext>
                <a:ext uri="{FF2B5EF4-FFF2-40B4-BE49-F238E27FC236}">
                  <a16:creationId xmlns:a16="http://schemas.microsoft.com/office/drawing/2014/main" id="{00000000-0008-0000-0A00-00000955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Check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266700</xdr:colOff>
          <xdr:row>54</xdr:row>
          <xdr:rowOff>9525</xdr:rowOff>
        </xdr:from>
        <xdr:to>
          <xdr:col>5</xdr:col>
          <xdr:colOff>390525</xdr:colOff>
          <xdr:row>56</xdr:row>
          <xdr:rowOff>9525</xdr:rowOff>
        </xdr:to>
        <xdr:sp macro="" textlink="">
          <xdr:nvSpPr>
            <xdr:cNvPr id="103256" name="Information_schedule" hidden="1">
              <a:extLst>
                <a:ext uri="{63B3BB69-23CF-44E3-9099-C40C66FF867C}">
                  <a14:compatExt spid="_x0000_s103256"/>
                </a:ext>
                <a:ext uri="{FF2B5EF4-FFF2-40B4-BE49-F238E27FC236}">
                  <a16:creationId xmlns:a16="http://schemas.microsoft.com/office/drawing/2014/main" id="{00000000-0008-0000-0A00-00005893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647700</xdr:colOff>
          <xdr:row>54</xdr:row>
          <xdr:rowOff>9525</xdr:rowOff>
        </xdr:from>
        <xdr:to>
          <xdr:col>4</xdr:col>
          <xdr:colOff>257175</xdr:colOff>
          <xdr:row>56</xdr:row>
          <xdr:rowOff>9525</xdr:rowOff>
        </xdr:to>
        <xdr:sp macro="" textlink="">
          <xdr:nvSpPr>
            <xdr:cNvPr id="103257" name="Button 16217" hidden="1">
              <a:extLst>
                <a:ext uri="{63B3BB69-23CF-44E3-9099-C40C66FF867C}">
                  <a14:compatExt spid="_x0000_s103257"/>
                </a:ext>
                <a:ext uri="{FF2B5EF4-FFF2-40B4-BE49-F238E27FC236}">
                  <a16:creationId xmlns:a16="http://schemas.microsoft.com/office/drawing/2014/main" id="{00000000-0008-0000-0A00-00005993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Calculate Metabolics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mbfsrv\Astronautics\Users\Daniel\Desktop\LiSTOT%20Version%201.4.7%20with%20ref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User Interface"/>
      <sheetName val="Technology"/>
      <sheetName val="Schedule and Metabolic"/>
      <sheetName val="MCA ESM"/>
      <sheetName val="ECLSS Composition"/>
      <sheetName val="Output Data"/>
      <sheetName val="Graphical Output"/>
      <sheetName val="Resupply Approach"/>
      <sheetName val="ECLSS Functions"/>
    </sheetNames>
    <sheetDataSet>
      <sheetData sheetId="0">
        <row r="10">
          <cell r="B10">
            <v>4</v>
          </cell>
        </row>
        <row r="11">
          <cell r="B11">
            <v>900</v>
          </cell>
        </row>
      </sheetData>
      <sheetData sheetId="1" refreshError="1"/>
      <sheetData sheetId="2">
        <row r="2">
          <cell r="N2" t="str">
            <v>Sleep</v>
          </cell>
        </row>
      </sheetData>
      <sheetData sheetId="3" refreshError="1"/>
      <sheetData sheetId="4" refreshError="1"/>
      <sheetData sheetId="5" refreshError="1"/>
      <sheetData sheetId="6" refreshError="1"/>
      <sheetData sheetId="7" refreshError="1"/>
      <sheetData sheetId="8" refreshError="1"/>
    </sheetDataSet>
  </externalBook>
</externalLink>
</file>

<file path=xl/persons/person.xml><?xml version="1.0" encoding="utf-8"?>
<personList xmlns="http://schemas.microsoft.com/office/spreadsheetml/2018/threadedcomments" xmlns:x="http://schemas.openxmlformats.org/spreadsheetml/2006/main">
  <person displayName="Michele Betti" id="{E22D2BC0-B27D-463B-8B71-D3A993CAA0C4}" userId="S::m.betti16@studenti.unipi.it::041591dd-344c-4ac8-ab6e-50a98f3dd2b1"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chnologies" displayName="technologies" ref="A1:BD368" totalsRowShown="0" headerRowDxfId="155" dataDxfId="154">
  <autoFilter ref="A1:BD368" xr:uid="{00000000-0009-0000-0100-000001000000}"/>
  <tableColumns count="56">
    <tableColumn id="1" xr3:uid="{00000000-0010-0000-0000-000001000000}" name="Name" dataDxfId="153"/>
    <tableColumn id="13" xr3:uid="{00000000-0010-0000-0000-00000D000000}" name="Abbreviation" dataDxfId="152"/>
    <tableColumn id="2" xr3:uid="{00000000-0010-0000-0000-000002000000}" name="Subsystem" dataDxfId="151"/>
    <tableColumn id="3" xr3:uid="{00000000-0010-0000-0000-000003000000}" name="Type" dataDxfId="150"/>
    <tableColumn id="4" xr3:uid="{00000000-0010-0000-0000-000004000000}" name="Uses" dataDxfId="149"/>
    <tableColumn id="5" xr3:uid="{00000000-0010-0000-0000-000005000000}" name="trace from" dataDxfId="148"/>
    <tableColumn id="6" xr3:uid="{00000000-0010-0000-0000-000006000000}" name="Level" dataDxfId="147"/>
    <tableColumn id="7" xr3:uid="{00000000-0010-0000-0000-000007000000}" name="Description" dataDxfId="146"/>
    <tableColumn id="8" xr3:uid="{00000000-0010-0000-0000-000008000000}" name="Mass_x000a_Literature" dataDxfId="145"/>
    <tableColumn id="34" xr3:uid="{00000000-0010-0000-0000-000022000000}" name="Mass" dataDxfId="144"/>
    <tableColumn id="38" xr3:uid="{00000000-0010-0000-0000-000026000000}" name="Mass Confidence Factor" dataDxfId="143"/>
    <tableColumn id="9" xr3:uid="{00000000-0010-0000-0000-000009000000}" name="Volume_x000a_Literature" dataDxfId="142"/>
    <tableColumn id="35" xr3:uid="{00000000-0010-0000-0000-000023000000}" name="Volume" dataDxfId="141"/>
    <tableColumn id="39" xr3:uid="{00000000-0010-0000-0000-000027000000}" name="Volume Confidence Factor" dataDxfId="140"/>
    <tableColumn id="10" xr3:uid="{00000000-0010-0000-0000-00000A000000}" name="Heat Generated_x000a_Literature" dataDxfId="139"/>
    <tableColumn id="36" xr3:uid="{00000000-0010-0000-0000-000024000000}" name="Heat" dataDxfId="138"/>
    <tableColumn id="40" xr3:uid="{00000000-0010-0000-0000-000028000000}" name="Heat Confidence Factor" dataDxfId="137"/>
    <tableColumn id="11" xr3:uid="{00000000-0010-0000-0000-00000B000000}" name="Power required_x000a_Literature" dataDxfId="136"/>
    <tableColumn id="37" xr3:uid="{00000000-0010-0000-0000-000025000000}" name="Power" dataDxfId="135"/>
    <tableColumn id="41" xr3:uid="{00000000-0010-0000-0000-000029000000}" name="Power Confidence Factor" dataDxfId="134"/>
    <tableColumn id="57" xr3:uid="{00000000-0010-0000-0000-000039000000}" name="Spare Parts" dataDxfId="133"/>
    <tableColumn id="12" xr3:uid="{00000000-0010-0000-0000-00000C000000}" name="Mass of 1 ORU" dataDxfId="132"/>
    <tableColumn id="14" xr3:uid="{00000000-0010-0000-0000-00000E000000}" name="Efficiency" dataDxfId="131"/>
    <tableColumn id="15" xr3:uid="{00000000-0010-0000-0000-00000F000000}" name="Resupply Mass" dataDxfId="130"/>
    <tableColumn id="16" xr3:uid="{00000000-0010-0000-0000-000010000000}" name="TRL_x000a_Literature" dataDxfId="129"/>
    <tableColumn id="42" xr3:uid="{00000000-0010-0000-0000-00002A000000}" name="TRL" dataDxfId="128"/>
    <tableColumn id="43" xr3:uid="{00000000-0010-0000-0000-00002B000000}" name="TRL Confidence Factor" dataDxfId="127"/>
    <tableColumn id="17" xr3:uid="{00000000-0010-0000-0000-000011000000}" name="MTBF" dataDxfId="126"/>
    <tableColumn id="45" xr3:uid="{00000000-0010-0000-0000-00002D000000}" name="MTBF Confidence Factor" dataDxfId="125"/>
    <tableColumn id="18" xr3:uid="{00000000-0010-0000-0000-000012000000}" name="Maintance" dataDxfId="124"/>
    <tableColumn id="46" xr3:uid="{00000000-0010-0000-0000-00002E000000}" name="fix Maintenance" dataDxfId="123"/>
    <tableColumn id="44" xr3:uid="{00000000-0010-0000-0000-00002C000000}" name="Maintenance per CM" dataDxfId="122"/>
    <tableColumn id="47" xr3:uid="{00000000-0010-0000-0000-00002F000000}" name="Maintenance Confidence Factor" dataDxfId="121"/>
    <tableColumn id="19" xr3:uid="{00000000-0010-0000-0000-000013000000}" name="Advantages" dataDxfId="120"/>
    <tableColumn id="20" xr3:uid="{00000000-0010-0000-0000-000014000000}" name="Disadvantages" dataDxfId="119"/>
    <tableColumn id="21" xr3:uid="{00000000-0010-0000-0000-000015000000}" name="Prospective improvements" dataDxfId="118"/>
    <tableColumn id="48" xr3:uid="{00000000-0010-0000-0000-000030000000}" name="Safety" dataDxfId="117"/>
    <tableColumn id="22" xr3:uid="{00000000-0010-0000-0000-000016000000}" name="principial chemical equation" dataDxfId="116"/>
    <tableColumn id="23" xr3:uid="{00000000-0010-0000-0000-000017000000}" name="inflow [kg/day] gas, liquid, solid" dataDxfId="115"/>
    <tableColumn id="24" xr3:uid="{00000000-0010-0000-0000-000018000000}" name="inflow composition gas, liquid, solid" dataDxfId="114"/>
    <tableColumn id="25" xr3:uid="{00000000-0010-0000-0000-000019000000}" name="outflow [kg/day] gas, liquid, solid" dataDxfId="113"/>
    <tableColumn id="26" xr3:uid="{00000000-0010-0000-0000-00001A000000}" name="outflow composition gas, liquid, solid" dataDxfId="112"/>
    <tableColumn id="27" xr3:uid="{00000000-0010-0000-0000-00001B000000}" name="source" dataDxfId="111"/>
    <tableColumn id="28" xr3:uid="{00000000-0010-0000-0000-00001C000000}" name="notes" dataDxfId="110"/>
    <tableColumn id="29" xr3:uid="{00000000-0010-0000-0000-00001D000000}" name="function1" dataDxfId="109"/>
    <tableColumn id="30" xr3:uid="{00000000-0010-0000-0000-00001E000000}" name="function2" dataDxfId="108"/>
    <tableColumn id="31" xr3:uid="{00000000-0010-0000-0000-00001F000000}" name="function3" dataDxfId="107"/>
    <tableColumn id="32" xr3:uid="{00000000-0010-0000-0000-000020000000}" name="function4" dataDxfId="106"/>
    <tableColumn id="33" xr3:uid="{00000000-0010-0000-0000-000021000000}" name="function5" dataDxfId="105"/>
    <tableColumn id="49" xr3:uid="{00000000-0010-0000-0000-000031000000}" name="function6" dataDxfId="104"/>
    <tableColumn id="50" xr3:uid="{00000000-0010-0000-0000-000032000000}" name="function7" dataDxfId="103"/>
    <tableColumn id="51" xr3:uid="{00000000-0010-0000-0000-000033000000}" name="function8" dataDxfId="102"/>
    <tableColumn id="52" xr3:uid="{00000000-0010-0000-0000-000034000000}" name="function9" dataDxfId="101"/>
    <tableColumn id="53" xr3:uid="{00000000-0010-0000-0000-000035000000}" name="function10" dataDxfId="100"/>
    <tableColumn id="60" xr3:uid="{00000000-0010-0000-0000-00003C000000}" name="operating temperatures [K]" dataDxfId="99"/>
    <tableColumn id="61" xr3:uid="{00000000-0010-0000-0000-00003D000000}" name="operating pressures [kPa]" dataDxfId="98"/>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77073E4-2B83-4AD8-AE05-4EC4D0DE16AC}" name="Plants" displayName="Plants" ref="A2:I26" totalsRowShown="0">
  <autoFilter ref="A2:I26" xr:uid="{C77073E4-2B83-4AD8-AE05-4EC4D0DE16AC}"/>
  <tableColumns count="9">
    <tableColumn id="1" xr3:uid="{5D8E41BB-1EC7-402D-A1D0-2A14A3F85979}" name="PlantName"/>
    <tableColumn id="2" xr3:uid="{0E29FF27-7EBE-4EB1-95FB-0702D59618B7}" name="CarbonContent" dataDxfId="97"/>
    <tableColumn id="3" xr3:uid="{81582CB8-DCC6-447F-B51F-5BB42E745A4B}" name="O2Production" dataDxfId="96"/>
    <tableColumn id="4" xr3:uid="{A0B09B23-8274-4F95-96B2-D6AE5A1236B7}" name="CO2Consumption" dataDxfId="95"/>
    <tableColumn id="5" xr3:uid="{C90762B6-2EF7-445E-B499-0371EE2155FF}" name="WaterUptake" dataDxfId="94"/>
    <tableColumn id="6" xr3:uid="{4AEAABCF-609B-43D7-90FD-4D525BD62DFE}" name="EdibleGrowth" dataDxfId="93"/>
    <tableColumn id="7" xr3:uid="{0EF1B5CA-CDCF-4C0A-9E55-72E07AD4E08D}" name="InedibleGrowth" dataDxfId="92"/>
    <tableColumn id="8" xr3:uid="{7257F7C4-94EB-418D-8FB4-49C8AA533835}" name="EdibleWaterContent" dataDxfId="91"/>
    <tableColumn id="9" xr3:uid="{868A9C28-EF8D-4BC5-8FFB-3B7F5F9062F5}" name="EnergyContent" dataDxfId="90"/>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E0F348B-7FA6-4247-90A1-0671EE8E1FB7}" name="PGC" displayName="PGC" ref="K2:AI7" totalsRowShown="0" headerRowDxfId="89" headerRowBorderDxfId="88" tableBorderDxfId="87">
  <autoFilter ref="K2:AI7" xr:uid="{0E0F348B-7FA6-4247-90A1-0671EE8E1FB7}"/>
  <tableColumns count="25">
    <tableColumn id="1" xr3:uid="{108C104F-4853-4063-91E1-E95EDC52CE40}" name="PGC CONFIGURATION" dataDxfId="86"/>
    <tableColumn id="2" xr3:uid="{5F16756A-2DB6-41FC-BF2D-4A1E8580204A}" name="Cabbage" dataDxfId="85"/>
    <tableColumn id="3" xr3:uid="{EC716F26-FB38-40FE-A043-8F448DB8E02A}" name="Carrot"/>
    <tableColumn id="4" xr3:uid="{F164286E-5DD9-49AF-9623-3190BB496232}" name="Chard" dataDxfId="84"/>
    <tableColumn id="5" xr3:uid="{422E5E05-E2FD-42E1-B490-11E76E1D31C0}" name="Celery" dataDxfId="83"/>
    <tableColumn id="6" xr3:uid="{8BC1D08E-69F0-4B3A-B1B2-F866928D55E2}" name="Dry Bean"/>
    <tableColumn id="7" xr3:uid="{29222891-94A9-41B2-AFF0-5B503F320442}" name="Green Onion"/>
    <tableColumn id="8" xr3:uid="{D50DC2FE-7B6B-46F5-A4A6-8BDBCD9046F8}" name="Lettuce"/>
    <tableColumn id="9" xr3:uid="{4137238B-3E74-41EC-88B4-326A1470BDBC}" name="Onion" dataDxfId="82"/>
    <tableColumn id="10" xr3:uid="{1835EC36-76BC-4ACC-A968-4C1AF8835CDF}" name="Pea" dataDxfId="81"/>
    <tableColumn id="11" xr3:uid="{85342799-F8E9-4E24-BB8F-264201888128}" name="Peanut" dataDxfId="80"/>
    <tableColumn id="12" xr3:uid="{0F522A45-2551-4BB1-8F11-CE81AFF66992}" name="Pepper" dataDxfId="79"/>
    <tableColumn id="13" xr3:uid="{852B0B85-2E31-4FEC-8855-E0D369A7530A}" name="Radish" dataDxfId="78"/>
    <tableColumn id="14" xr3:uid="{F5097300-4E41-41C7-9A42-B7338651A331}" name="Red Beet" dataDxfId="77"/>
    <tableColumn id="15" xr3:uid="{A6A6A753-2723-4647-956F-7D9EDEF37DE6}" name="Rice" dataDxfId="76"/>
    <tableColumn id="16" xr3:uid="{A65F9549-5D1C-41FA-B7F2-7559191A590C}" name="Snap Bean"/>
    <tableColumn id="17" xr3:uid="{FA962142-D217-4CE3-9F0B-3B9FFB2E40F7}" name="Soybean"/>
    <tableColumn id="18" xr3:uid="{8BD3D0F9-A1FE-4B28-B7FB-1B5FA2587930}" name="Spinach"/>
    <tableColumn id="19" xr3:uid="{687130A7-20A6-4445-97BF-2E9689341283}" name="Strawberry" dataDxfId="75"/>
    <tableColumn id="20" xr3:uid="{A91C1703-0193-4CE9-A82C-F9B0F327AC76}" name="Sweet Potato"/>
    <tableColumn id="21" xr3:uid="{9D9F1FA9-1BD0-461D-BFDC-32AE7811715E}" name="Tomato"/>
    <tableColumn id="22" xr3:uid="{C273EF44-B6E8-4BE6-958A-063BA6E84771}" name="Wheat" dataDxfId="74"/>
    <tableColumn id="23" xr3:uid="{F476BA29-6655-44AD-B8F5-E02150D25FFA}" name="White Potato"/>
    <tableColumn id="24" xr3:uid="{6188F175-80AF-40A3-9ACB-898D07EE7628}" name="Chufa"/>
    <tableColumn id="25" xr3:uid="{7FEB79CE-3F86-4EB3-9E17-98280E34B960}" name="Cucumber" dataDxfId="7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schedule_compl" displayName="schedule_compl" ref="A2:L51" totalsRowCount="1">
  <autoFilter ref="A2:L50" xr:uid="{00000000-0009-0000-0100-000002000000}"/>
  <tableColumns count="12">
    <tableColumn id="1" xr3:uid="{00000000-0010-0000-0100-000001000000}" name="time" dataDxfId="72" totalsRowDxfId="71"/>
    <tableColumn id="57" xr3:uid="{00000000-0010-0000-0100-000039000000}" name="task" dataDxfId="70" totalsRowDxfId="69">
      <calculatedColumnFormula>IF($A$1=1,AH3,IF($A$1=2,AN3,IF($A$1=3,AT3,IF($A$1=4,AZ3,IF($A$1=5,BF3,IF($A$1=6,BL3))))))</calculatedColumnFormula>
    </tableColumn>
    <tableColumn id="62" xr3:uid="{00000000-0010-0000-0100-00003E000000}" name="Crew" dataDxfId="68" totalsRowDxfId="67">
      <calculatedColumnFormula>Crew_Size</calculatedColumnFormula>
    </tableColumn>
    <tableColumn id="2" xr3:uid="{00000000-0010-0000-0100-000002000000}" name="O2" totalsRowFunction="custom" dataDxfId="66" totalsRowDxfId="65">
      <totalsRowFormula array="1">SUM(schedule_compl[O2]*0.5)</totalsRowFormula>
    </tableColumn>
    <tableColumn id="3" xr3:uid="{00000000-0010-0000-0100-000003000000}" name="CO2" totalsRowFunction="custom" dataDxfId="64" totalsRowDxfId="63">
      <totalsRowFormula array="1">SUM(schedule_compl[CO2]*0.5)</totalsRowFormula>
    </tableColumn>
    <tableColumn id="4" xr3:uid="{00000000-0010-0000-0100-000004000000}" name="urine" totalsRowFunction="custom" dataDxfId="62" totalsRowDxfId="61">
      <totalsRowFormula array="1">SUM(schedule_compl[urine]*0.5)</totalsRowFormula>
    </tableColumn>
    <tableColumn id="5" xr3:uid="{00000000-0010-0000-0100-000005000000}" name="feces" totalsRowFunction="custom" dataDxfId="60" totalsRowDxfId="59">
      <totalsRowFormula array="1">SUM(schedule_compl[feces]*0.5)</totalsRowFormula>
    </tableColumn>
    <tableColumn id="6" xr3:uid="{00000000-0010-0000-0100-000006000000}" name="potable" totalsRowFunction="custom" dataDxfId="58" totalsRowDxfId="57">
      <totalsRowFormula array="1">SUM(schedule_compl[potable]*0.5)</totalsRowFormula>
    </tableColumn>
    <tableColumn id="7" xr3:uid="{00000000-0010-0000-0100-000007000000}" name="hygiene" totalsRowFunction="custom" dataDxfId="56" totalsRowDxfId="55">
      <totalsRowFormula array="1">SUM(schedule_compl[hygiene]*0.5)</totalsRowFormula>
    </tableColumn>
    <tableColumn id="8" xr3:uid="{00000000-0010-0000-0100-000008000000}" name="food" totalsRowFunction="custom" dataDxfId="54" totalsRowDxfId="53">
      <totalsRowFormula array="1">SUM(schedule_compl[food]*0.5)</totalsRowFormula>
    </tableColumn>
    <tableColumn id="9" xr3:uid="{00000000-0010-0000-0100-000009000000}" name="sweat" totalsRowFunction="custom" dataDxfId="52" totalsRowDxfId="51">
      <totalsRowFormula array="1">SUM(schedule_compl[sweat]*0.5)</totalsRowFormula>
    </tableColumn>
    <tableColumn id="10" xr3:uid="{00000000-0010-0000-0100-00000A000000}" name="heat" totalsRowFunction="custom" dataDxfId="50" totalsRowDxfId="49">
      <totalsRowFormula array="1">SUM(schedule_compl[heat]*0.5)</totalsRowFormula>
    </tableColumn>
  </tableColumns>
  <tableStyleInfo name="TableStyleMedium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schedule_nomal" displayName="schedule_nomal" ref="N1:AD17" totalsRowShown="0" headerRowDxfId="48" dataDxfId="47">
  <autoFilter ref="N1:AD17" xr:uid="{00000000-0009-0000-0100-000003000000}"/>
  <tableColumns count="17">
    <tableColumn id="1" xr3:uid="{00000000-0010-0000-0200-000001000000}" name="Metabolic factors_x000a_(Values taken from NASA's Life Support Baseline Values and Assumptions Document)"/>
    <tableColumn id="2" xr3:uid="{00000000-0010-0000-0200-000002000000}" name="hr/day" dataDxfId="46"/>
    <tableColumn id="3" xr3:uid="{00000000-0010-0000-0200-000003000000}" name="O2 Consumption" dataDxfId="45"/>
    <tableColumn id="4" xr3:uid="{00000000-0010-0000-0200-000004000000}" name="CO2 Production" dataDxfId="44"/>
    <tableColumn id="5" xr3:uid="{00000000-0010-0000-0200-000005000000}" name="Urine Water Production" dataDxfId="43"/>
    <tableColumn id="6" xr3:uid="{00000000-0010-0000-0200-000006000000}" name="Feces Production" dataDxfId="42"/>
    <tableColumn id="7" xr3:uid="{00000000-0010-0000-0200-000007000000}" name="Potable Water Consumption" dataDxfId="41"/>
    <tableColumn id="8" xr3:uid="{00000000-0010-0000-0200-000008000000}" name="Hygiene Water Consumption" dataDxfId="40"/>
    <tableColumn id="9" xr3:uid="{00000000-0010-0000-0200-000009000000}" name="Food Consumption" dataDxfId="39"/>
    <tableColumn id="17" xr3:uid="{00000000-0010-0000-0200-000011000000}" name="Water Content in Food"/>
    <tableColumn id="10" xr3:uid="{00000000-0010-0000-0200-00000A000000}" name="Sweat/Water Vapor Production" dataDxfId="38"/>
    <tableColumn id="11" xr3:uid="{00000000-0010-0000-0200-00000B000000}" name="Heat Load" dataDxfId="37"/>
    <tableColumn id="12" xr3:uid="{00000000-0010-0000-0200-00000C000000}" name="Metabolic Water" dataDxfId="36"/>
    <tableColumn id="13" xr3:uid="{00000000-0010-0000-0200-00000D000000}" name="Urine Solid Waste Production " dataDxfId="35"/>
    <tableColumn id="16" xr3:uid="{00000000-0010-0000-0200-000010000000}" name="Feces Solid Waste Production"/>
    <tableColumn id="14" xr3:uid="{00000000-0010-0000-0200-00000E000000}" name="Hygiene Solid Waste Production " dataDxfId="34"/>
    <tableColumn id="15" xr3:uid="{00000000-0010-0000-0200-00000F000000}" name="Sweat/Water Vapor Solid Wastes Production" dataDxfId="3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references" displayName="references" ref="A1:D80" totalsRowShown="0" headerRowDxfId="32" dataDxfId="31">
  <autoFilter ref="A1:D80" xr:uid="{00000000-0009-0000-0100-000004000000}"/>
  <tableColumns count="4">
    <tableColumn id="1" xr3:uid="{00000000-0010-0000-0300-000001000000}" name="number" dataDxfId="30"/>
    <tableColumn id="2" xr3:uid="{00000000-0010-0000-0300-000002000000}" name="title" dataDxfId="29"/>
    <tableColumn id="3" xr3:uid="{00000000-0010-0000-0300-000003000000}" name="author" dataDxfId="28"/>
    <tableColumn id="4" xr3:uid="{00000000-0010-0000-0300-000004000000}" name="year/version" dataDxfId="27"/>
  </tableColumns>
  <tableStyleInfo name="TableStyleMedium1" showFirstColumn="0" showLastColumn="0" showRowStripes="1" showColumnStripes="0"/>
</table>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I2" dT="2026-05-07T15:52:15.81" personId="{E22D2BC0-B27D-463B-8B71-D3A993CAA0C4}" id="{26B855B8-E77B-4F11-A051-74ECE66495B3}">
    <text>Update data with bvad</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trlProp" Target="../ctrlProps/ctrlProp13.xml"/><Relationship Id="rId7" Type="http://schemas.openxmlformats.org/officeDocument/2006/relationships/image" Target="../media/image2.emf"/><Relationship Id="rId2" Type="http://schemas.openxmlformats.org/officeDocument/2006/relationships/drawing" Target="../drawings/drawing4.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ctrlProp" Target="../ctrlProps/ctrlProp16.xml"/><Relationship Id="rId5" Type="http://schemas.openxmlformats.org/officeDocument/2006/relationships/image" Target="../media/image1.emf"/><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trlProp" Target="../ctrlProps/ctrlProp15.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trlProp" Target="../ctrlProps/ctrlProp11.xml"/><Relationship Id="rId8" Type="http://schemas.openxmlformats.org/officeDocument/2006/relationships/control" Target="../activeX/activeX3.xml"/><Relationship Id="rId51" Type="http://schemas.openxmlformats.org/officeDocument/2006/relationships/ctrlProp" Target="../ctrlProps/ctrlProp14.xml"/><Relationship Id="rId3" Type="http://schemas.openxmlformats.org/officeDocument/2006/relationships/vmlDrawing" Target="../drawings/vmlDrawing3.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1" Type="http://schemas.openxmlformats.org/officeDocument/2006/relationships/printerSettings" Target="../printerSettings/printerSettings3.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vmlDrawing" Target="../drawings/vmlDrawing5.vml"/><Relationship Id="rId5" Type="http://schemas.microsoft.com/office/2017/10/relationships/threadedComment" Target="../threadedComments/threadedComment1.xml"/><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vmlDrawing" Target="../drawings/vmlDrawing6.vml"/><Relationship Id="rId7" Type="http://schemas.openxmlformats.org/officeDocument/2006/relationships/ctrlProp" Target="../ctrlProps/ctrlProp20.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9.xml"/><Relationship Id="rId11" Type="http://schemas.openxmlformats.org/officeDocument/2006/relationships/ctrlProp" Target="../ctrlProps/ctrlProp24.xml"/><Relationship Id="rId5" Type="http://schemas.openxmlformats.org/officeDocument/2006/relationships/ctrlProp" Target="../ctrlProps/ctrlProp18.xml"/><Relationship Id="rId10" Type="http://schemas.openxmlformats.org/officeDocument/2006/relationships/ctrlProp" Target="../ctrlProps/ctrlProp23.xml"/><Relationship Id="rId4" Type="http://schemas.openxmlformats.org/officeDocument/2006/relationships/ctrlProp" Target="../ctrlProps/ctrlProp17.xml"/><Relationship Id="rId9" Type="http://schemas.openxmlformats.org/officeDocument/2006/relationships/ctrlProp" Target="../ctrlProps/ctrlProp22.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9.xml"/><Relationship Id="rId3" Type="http://schemas.openxmlformats.org/officeDocument/2006/relationships/vmlDrawing" Target="../drawings/vmlDrawing7.vml"/><Relationship Id="rId7" Type="http://schemas.openxmlformats.org/officeDocument/2006/relationships/ctrlProp" Target="../ctrlProps/ctrlProp2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7.xml"/><Relationship Id="rId11" Type="http://schemas.openxmlformats.org/officeDocument/2006/relationships/table" Target="../tables/table5.xml"/><Relationship Id="rId5" Type="http://schemas.openxmlformats.org/officeDocument/2006/relationships/ctrlProp" Target="../ctrlProps/ctrlProp26.xml"/><Relationship Id="rId10" Type="http://schemas.openxmlformats.org/officeDocument/2006/relationships/table" Target="../tables/table4.xml"/><Relationship Id="rId4" Type="http://schemas.openxmlformats.org/officeDocument/2006/relationships/ctrlProp" Target="../ctrlProps/ctrlProp25.xml"/><Relationship Id="rId9" Type="http://schemas.openxmlformats.org/officeDocument/2006/relationships/ctrlProp" Target="../ctrlProps/ctrlProp3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table" Target="../tables/table6.xml"/><Relationship Id="rId1" Type="http://schemas.openxmlformats.org/officeDocument/2006/relationships/vmlDrawing" Target="../drawings/vmlDrawing8.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U142"/>
  <sheetViews>
    <sheetView topLeftCell="A5" zoomScale="80" zoomScaleNormal="80" workbookViewId="0">
      <selection activeCell="M10" sqref="M10"/>
    </sheetView>
  </sheetViews>
  <sheetFormatPr defaultColWidth="0" defaultRowHeight="15" x14ac:dyDescent="0.25"/>
  <cols>
    <col min="1" max="1" width="19.42578125" customWidth="1"/>
    <col min="2" max="2" width="10.5703125" customWidth="1"/>
    <col min="3" max="3" width="13.5703125" customWidth="1"/>
    <col min="4" max="4" width="12.5703125" customWidth="1"/>
    <col min="5" max="5" width="7.5703125" customWidth="1"/>
    <col min="6" max="6" width="12.5703125" customWidth="1"/>
    <col min="7" max="7" width="13.42578125" customWidth="1"/>
    <col min="8" max="8" width="7.5703125" customWidth="1"/>
    <col min="9" max="9" width="8.5703125" customWidth="1"/>
    <col min="10" max="10" width="14.42578125" customWidth="1"/>
    <col min="11" max="11" width="7.5703125" customWidth="1"/>
    <col min="12" max="12" width="17.42578125" customWidth="1"/>
    <col min="13" max="13" width="57" customWidth="1"/>
    <col min="14" max="16" width="11.5703125" customWidth="1"/>
    <col min="17" max="21" width="0" hidden="1" customWidth="1"/>
    <col min="22" max="16384" width="11.5703125" hidden="1"/>
  </cols>
  <sheetData>
    <row r="1" spans="1:19" ht="26.25" x14ac:dyDescent="0.4">
      <c r="A1" s="36" t="s">
        <v>766</v>
      </c>
      <c r="B1" s="37"/>
      <c r="C1" s="37"/>
      <c r="D1" s="37"/>
      <c r="E1" s="37"/>
      <c r="F1" s="37"/>
      <c r="G1" s="37"/>
      <c r="H1" s="37"/>
      <c r="I1" s="37"/>
      <c r="J1" s="37"/>
      <c r="K1" s="37"/>
      <c r="L1" s="37"/>
      <c r="M1" s="37"/>
      <c r="N1" s="37"/>
      <c r="O1" s="37"/>
      <c r="P1" s="37"/>
      <c r="Q1" s="37"/>
      <c r="R1" s="37"/>
      <c r="S1" s="37"/>
    </row>
    <row r="2" spans="1:19" x14ac:dyDescent="0.25">
      <c r="A2" s="37"/>
      <c r="B2" s="37"/>
      <c r="C2" s="37"/>
      <c r="D2" s="37"/>
      <c r="E2" s="37"/>
      <c r="F2" s="37"/>
      <c r="G2" s="37"/>
      <c r="H2" s="37"/>
      <c r="I2" s="37"/>
      <c r="J2" s="37"/>
      <c r="K2" s="37"/>
      <c r="L2" s="37"/>
      <c r="M2" s="37"/>
      <c r="N2" s="37"/>
      <c r="O2" s="37"/>
      <c r="P2" s="37"/>
      <c r="Q2" s="37"/>
      <c r="R2" s="37"/>
      <c r="S2" s="37"/>
    </row>
    <row r="3" spans="1:19" ht="15.75" x14ac:dyDescent="0.25">
      <c r="A3" s="38" t="s">
        <v>794</v>
      </c>
      <c r="B3" s="37"/>
      <c r="C3" s="37"/>
      <c r="D3" s="37"/>
      <c r="E3" s="37"/>
      <c r="F3" s="37"/>
      <c r="G3" s="37"/>
      <c r="H3" s="37"/>
      <c r="I3" s="37"/>
      <c r="J3" s="37"/>
      <c r="K3" s="37"/>
      <c r="L3" s="37"/>
      <c r="M3" s="37"/>
      <c r="N3" s="37"/>
      <c r="O3" s="37"/>
      <c r="P3" s="37"/>
      <c r="Q3" s="37"/>
      <c r="R3" s="37"/>
      <c r="S3" s="37"/>
    </row>
    <row r="4" spans="1:19" x14ac:dyDescent="0.25">
      <c r="A4" s="37"/>
      <c r="B4" s="37"/>
      <c r="C4" s="37"/>
      <c r="D4" s="37"/>
      <c r="E4" s="37"/>
      <c r="F4" s="37"/>
      <c r="G4" s="37"/>
      <c r="H4" s="37"/>
      <c r="I4" s="37"/>
      <c r="J4" s="37"/>
      <c r="K4" s="37"/>
      <c r="L4" s="37"/>
      <c r="M4" s="37"/>
      <c r="N4" s="37"/>
      <c r="O4" s="37"/>
      <c r="P4" s="37"/>
      <c r="Q4" s="37"/>
      <c r="R4" s="37"/>
      <c r="S4" s="37"/>
    </row>
    <row r="5" spans="1:19" ht="105" customHeight="1" x14ac:dyDescent="0.25">
      <c r="A5" s="37"/>
      <c r="B5" s="37"/>
      <c r="C5" s="37"/>
      <c r="D5" s="37"/>
      <c r="E5" s="37"/>
      <c r="F5" s="37"/>
      <c r="G5" s="37"/>
      <c r="H5" s="37"/>
      <c r="I5" s="37"/>
      <c r="J5" s="37"/>
      <c r="K5" s="37"/>
      <c r="L5" s="37"/>
      <c r="M5" s="37"/>
      <c r="N5" s="37"/>
      <c r="O5" s="37"/>
      <c r="P5" s="37"/>
      <c r="Q5" s="37"/>
      <c r="R5" s="37"/>
      <c r="S5" s="37"/>
    </row>
    <row r="6" spans="1:19" ht="18.75" x14ac:dyDescent="0.3">
      <c r="A6" s="80"/>
      <c r="B6" s="37"/>
      <c r="C6" s="37"/>
      <c r="D6" s="80"/>
      <c r="E6" s="37"/>
      <c r="F6" s="37"/>
      <c r="G6" s="37"/>
      <c r="H6" s="37"/>
      <c r="I6" s="37"/>
      <c r="J6" s="37"/>
      <c r="K6" s="37"/>
      <c r="L6" s="37"/>
      <c r="M6" s="37"/>
      <c r="N6" s="80"/>
      <c r="O6" s="37"/>
      <c r="P6" s="37"/>
      <c r="Q6" s="37"/>
      <c r="R6" s="37"/>
      <c r="S6" s="37"/>
    </row>
    <row r="7" spans="1:19" ht="29.1" customHeight="1" x14ac:dyDescent="0.25">
      <c r="A7" s="790" t="s">
        <v>768</v>
      </c>
      <c r="B7" s="791"/>
      <c r="C7" s="792"/>
      <c r="D7" s="75" t="s">
        <v>769</v>
      </c>
      <c r="E7" s="32"/>
      <c r="F7" s="32"/>
      <c r="G7" s="32"/>
      <c r="H7" s="32"/>
      <c r="I7" s="32"/>
      <c r="J7" s="32"/>
      <c r="K7" s="32"/>
      <c r="L7" s="32"/>
      <c r="M7" s="33"/>
      <c r="N7" s="32"/>
      <c r="O7" s="32"/>
      <c r="P7" s="32"/>
      <c r="Q7" s="37"/>
      <c r="R7" s="37"/>
      <c r="S7" s="37"/>
    </row>
    <row r="8" spans="1:19" ht="15.75" x14ac:dyDescent="0.25">
      <c r="A8" s="793" t="s">
        <v>774</v>
      </c>
      <c r="B8" s="794"/>
      <c r="C8" s="795"/>
      <c r="D8" s="33" t="s">
        <v>770</v>
      </c>
      <c r="E8" s="32"/>
      <c r="F8" s="32"/>
      <c r="G8" s="33" t="s">
        <v>771</v>
      </c>
      <c r="H8" s="32"/>
      <c r="I8" s="32"/>
      <c r="J8" s="33" t="s">
        <v>772</v>
      </c>
      <c r="K8" s="32"/>
      <c r="L8" s="32"/>
      <c r="M8" s="33" t="s">
        <v>1177</v>
      </c>
      <c r="N8" s="33"/>
      <c r="O8" s="32"/>
      <c r="P8" s="32"/>
      <c r="Q8" s="37"/>
      <c r="R8" s="37"/>
      <c r="S8" s="37"/>
    </row>
    <row r="9" spans="1:19" x14ac:dyDescent="0.25">
      <c r="A9" s="796"/>
      <c r="B9" s="794"/>
      <c r="C9" s="795"/>
      <c r="D9" s="32"/>
      <c r="E9" s="32"/>
      <c r="F9" s="32"/>
      <c r="G9" s="32"/>
      <c r="H9" s="32"/>
      <c r="I9" s="32"/>
      <c r="J9" s="32"/>
      <c r="K9" s="32"/>
      <c r="L9" s="32"/>
      <c r="M9" s="32"/>
      <c r="N9" s="32"/>
      <c r="O9" s="32"/>
      <c r="P9" s="32"/>
      <c r="Q9" s="37"/>
      <c r="R9" s="37"/>
      <c r="S9" s="37"/>
    </row>
    <row r="10" spans="1:19" x14ac:dyDescent="0.25">
      <c r="A10" s="796" t="s">
        <v>776</v>
      </c>
      <c r="B10" s="107">
        <v>5</v>
      </c>
      <c r="C10" s="795"/>
      <c r="D10" s="32" t="s">
        <v>779</v>
      </c>
      <c r="E10" s="108">
        <v>1</v>
      </c>
      <c r="F10" s="32" t="s">
        <v>991</v>
      </c>
      <c r="G10" s="32"/>
      <c r="H10" s="32"/>
      <c r="I10" s="32"/>
      <c r="J10" s="32" t="s">
        <v>779</v>
      </c>
      <c r="K10" s="112"/>
      <c r="L10" s="32" t="s">
        <v>787</v>
      </c>
      <c r="M10" s="111" t="s">
        <v>1082</v>
      </c>
      <c r="N10" s="32"/>
      <c r="O10" s="49"/>
      <c r="P10" s="32"/>
      <c r="Q10" s="37"/>
      <c r="R10" s="37"/>
      <c r="S10" s="37"/>
    </row>
    <row r="11" spans="1:19" ht="17.25" x14ac:dyDescent="0.25">
      <c r="A11" s="796" t="s">
        <v>777</v>
      </c>
      <c r="B11" s="107">
        <v>600</v>
      </c>
      <c r="C11" s="797" t="s">
        <v>767</v>
      </c>
      <c r="D11" s="32" t="s">
        <v>780</v>
      </c>
      <c r="E11" s="108">
        <v>1</v>
      </c>
      <c r="F11" s="32" t="s">
        <v>991</v>
      </c>
      <c r="G11" s="32"/>
      <c r="H11" s="32"/>
      <c r="I11" s="32"/>
      <c r="J11" s="32" t="s">
        <v>780</v>
      </c>
      <c r="K11" s="113"/>
      <c r="L11" s="32" t="s">
        <v>788</v>
      </c>
      <c r="M11" s="32"/>
      <c r="N11" s="32"/>
      <c r="O11" s="49"/>
      <c r="P11" s="32"/>
      <c r="Q11" s="37"/>
      <c r="R11" s="37"/>
      <c r="S11" s="37"/>
    </row>
    <row r="12" spans="1:19" x14ac:dyDescent="0.25">
      <c r="A12" s="796" t="s">
        <v>778</v>
      </c>
      <c r="B12" s="107">
        <v>1</v>
      </c>
      <c r="C12" s="795"/>
      <c r="D12" s="32" t="s">
        <v>781</v>
      </c>
      <c r="E12" s="108">
        <v>1</v>
      </c>
      <c r="F12" s="32" t="s">
        <v>991</v>
      </c>
      <c r="G12" s="32"/>
      <c r="H12" s="32"/>
      <c r="I12" s="32"/>
      <c r="J12" s="32" t="s">
        <v>781</v>
      </c>
      <c r="K12" s="113"/>
      <c r="L12" s="32" t="s">
        <v>789</v>
      </c>
      <c r="M12" s="69" t="s">
        <v>1248</v>
      </c>
      <c r="N12" s="32"/>
      <c r="O12" s="49"/>
      <c r="P12" s="32"/>
      <c r="Q12" s="37"/>
      <c r="R12" s="37"/>
      <c r="S12" s="37"/>
    </row>
    <row r="13" spans="1:19" x14ac:dyDescent="0.25">
      <c r="A13" s="796"/>
      <c r="B13" s="798"/>
      <c r="C13" s="795"/>
      <c r="D13" s="32" t="s">
        <v>782</v>
      </c>
      <c r="E13" s="108">
        <v>1</v>
      </c>
      <c r="F13" s="32" t="s">
        <v>991</v>
      </c>
      <c r="G13" s="32"/>
      <c r="H13" s="32"/>
      <c r="I13" s="32"/>
      <c r="J13" s="32" t="s">
        <v>782</v>
      </c>
      <c r="K13" s="113"/>
      <c r="L13" s="32" t="s">
        <v>789</v>
      </c>
      <c r="M13" s="50"/>
      <c r="N13" s="32"/>
      <c r="O13" s="49"/>
      <c r="P13" s="32"/>
      <c r="Q13" s="37"/>
      <c r="R13" s="37"/>
      <c r="S13" s="37"/>
    </row>
    <row r="14" spans="1:19" ht="17.25" x14ac:dyDescent="0.25">
      <c r="A14" s="796" t="s">
        <v>818</v>
      </c>
      <c r="B14" s="107">
        <v>125</v>
      </c>
      <c r="C14" s="795" t="s">
        <v>788</v>
      </c>
      <c r="D14" s="32" t="s">
        <v>783</v>
      </c>
      <c r="E14" s="108">
        <v>1</v>
      </c>
      <c r="F14" s="32" t="s">
        <v>991</v>
      </c>
      <c r="G14" s="32"/>
      <c r="H14" s="32"/>
      <c r="I14" s="32"/>
      <c r="J14" s="32" t="s">
        <v>783</v>
      </c>
      <c r="K14" s="113"/>
      <c r="L14" s="32" t="s">
        <v>790</v>
      </c>
      <c r="M14" s="32"/>
      <c r="N14" s="32"/>
      <c r="O14" s="49"/>
      <c r="P14" s="32"/>
      <c r="Q14" s="37"/>
      <c r="R14" s="37"/>
      <c r="S14" s="37"/>
    </row>
    <row r="15" spans="1:19" x14ac:dyDescent="0.25">
      <c r="A15" s="796" t="s">
        <v>1184</v>
      </c>
      <c r="B15" s="107">
        <v>7</v>
      </c>
      <c r="C15" s="795"/>
      <c r="D15" s="32" t="s">
        <v>784</v>
      </c>
      <c r="E15" s="108">
        <v>1</v>
      </c>
      <c r="F15" s="32" t="s">
        <v>991</v>
      </c>
      <c r="G15" s="32" t="s">
        <v>784</v>
      </c>
      <c r="H15" s="109"/>
      <c r="I15" s="32" t="s">
        <v>991</v>
      </c>
      <c r="J15" s="32"/>
      <c r="K15" s="32"/>
      <c r="L15" s="32"/>
      <c r="M15" s="32"/>
      <c r="N15" s="32"/>
      <c r="O15" s="49"/>
      <c r="P15" s="32"/>
      <c r="Q15" s="37"/>
      <c r="R15" s="37"/>
      <c r="S15" s="37"/>
    </row>
    <row r="16" spans="1:19" x14ac:dyDescent="0.25">
      <c r="A16" s="796" t="s">
        <v>1166</v>
      </c>
      <c r="B16" s="799"/>
      <c r="C16" s="795" t="s">
        <v>1167</v>
      </c>
      <c r="D16" s="32" t="s">
        <v>785</v>
      </c>
      <c r="E16" s="108">
        <v>1</v>
      </c>
      <c r="F16" s="32" t="s">
        <v>991</v>
      </c>
      <c r="G16" s="32" t="s">
        <v>785</v>
      </c>
      <c r="H16" s="110">
        <v>9</v>
      </c>
      <c r="I16" s="60"/>
      <c r="J16" s="32"/>
      <c r="K16" s="32"/>
      <c r="L16" s="32"/>
      <c r="M16" s="32"/>
      <c r="N16" s="32"/>
      <c r="O16" s="32"/>
      <c r="P16" s="32"/>
      <c r="Q16" s="37"/>
      <c r="R16" s="37"/>
      <c r="S16" s="37"/>
    </row>
    <row r="17" spans="1:19" x14ac:dyDescent="0.25">
      <c r="A17" s="796"/>
      <c r="B17" s="794"/>
      <c r="C17" s="795"/>
      <c r="D17" s="32"/>
      <c r="E17" s="32"/>
      <c r="F17" s="32"/>
      <c r="G17" s="32"/>
      <c r="H17" s="32"/>
      <c r="I17" s="32"/>
      <c r="J17" s="32"/>
      <c r="K17" s="32"/>
      <c r="L17" s="32"/>
      <c r="M17" s="32"/>
      <c r="N17" s="32"/>
      <c r="O17" s="32"/>
      <c r="P17" s="32"/>
      <c r="Q17" s="37"/>
      <c r="R17" s="37"/>
      <c r="S17" s="37"/>
    </row>
    <row r="18" spans="1:19" x14ac:dyDescent="0.25">
      <c r="A18" s="796"/>
      <c r="B18" s="794"/>
      <c r="C18" s="795"/>
      <c r="D18" s="32"/>
      <c r="E18" s="32"/>
      <c r="F18" s="32"/>
      <c r="G18" s="32"/>
      <c r="H18" s="32"/>
      <c r="I18" s="32"/>
      <c r="J18" s="32"/>
      <c r="K18" s="32"/>
      <c r="L18" s="32"/>
      <c r="M18" s="32"/>
      <c r="N18" s="32"/>
      <c r="O18" s="32"/>
      <c r="P18" s="32"/>
      <c r="Q18" s="37"/>
      <c r="R18" s="37"/>
      <c r="S18" s="37"/>
    </row>
    <row r="19" spans="1:19" x14ac:dyDescent="0.25">
      <c r="A19" s="800"/>
      <c r="B19" s="801"/>
      <c r="C19" s="802"/>
      <c r="D19" s="32"/>
      <c r="E19" s="32"/>
      <c r="F19" s="32"/>
      <c r="G19" s="32"/>
      <c r="H19" s="32"/>
      <c r="I19" s="32"/>
      <c r="J19" s="32"/>
      <c r="K19" s="32"/>
      <c r="L19" s="32"/>
      <c r="M19" s="32"/>
      <c r="N19" s="32"/>
      <c r="O19" s="32"/>
      <c r="P19" s="32"/>
      <c r="Q19" s="37"/>
      <c r="R19" s="37"/>
      <c r="S19" s="37"/>
    </row>
    <row r="20" spans="1:19" ht="18.600000000000001" customHeight="1" x14ac:dyDescent="0.25">
      <c r="A20" s="76" t="s">
        <v>773</v>
      </c>
      <c r="B20" s="34"/>
      <c r="C20" s="34"/>
      <c r="D20" s="77" t="s">
        <v>992</v>
      </c>
      <c r="E20" s="57"/>
      <c r="F20" s="57"/>
      <c r="G20" s="57"/>
      <c r="H20" s="57"/>
      <c r="I20" s="57"/>
      <c r="J20" s="77"/>
      <c r="K20" s="78" t="s">
        <v>1194</v>
      </c>
      <c r="L20" s="61"/>
      <c r="M20" s="61"/>
      <c r="N20" s="61"/>
      <c r="O20" s="61"/>
      <c r="P20" s="61"/>
      <c r="Q20" s="37"/>
      <c r="R20" s="37"/>
      <c r="S20" s="37"/>
    </row>
    <row r="21" spans="1:19" ht="15" customHeight="1" x14ac:dyDescent="0.25">
      <c r="A21" s="35"/>
      <c r="B21" s="34"/>
      <c r="C21" s="34"/>
      <c r="D21" s="57"/>
      <c r="E21" s="57"/>
      <c r="F21" s="57"/>
      <c r="G21" s="57"/>
      <c r="H21" s="57"/>
      <c r="I21" s="57"/>
      <c r="J21" s="57"/>
      <c r="K21" s="61"/>
      <c r="L21" s="61"/>
      <c r="M21" s="61"/>
      <c r="N21" s="61"/>
      <c r="O21" s="61"/>
      <c r="P21" s="61"/>
      <c r="Q21" s="37"/>
      <c r="R21" s="37"/>
      <c r="S21" s="37"/>
    </row>
    <row r="22" spans="1:19" ht="15.75" x14ac:dyDescent="0.25">
      <c r="A22" s="35" t="s">
        <v>775</v>
      </c>
      <c r="B22" s="34"/>
      <c r="C22" s="34"/>
      <c r="D22" s="57" t="s">
        <v>962</v>
      </c>
      <c r="E22" s="57"/>
      <c r="F22" s="114" t="s">
        <v>2014</v>
      </c>
      <c r="G22" s="57"/>
      <c r="H22" s="57"/>
      <c r="I22" s="107">
        <v>0</v>
      </c>
      <c r="J22" s="57" t="s">
        <v>991</v>
      </c>
      <c r="K22" s="61" t="s">
        <v>1195</v>
      </c>
      <c r="L22" s="61"/>
      <c r="M22" s="61"/>
      <c r="N22" s="61"/>
      <c r="O22" s="61"/>
      <c r="P22" s="61"/>
      <c r="Q22" s="37"/>
      <c r="R22" s="37"/>
      <c r="S22" s="37"/>
    </row>
    <row r="23" spans="1:19" x14ac:dyDescent="0.25">
      <c r="A23" s="34"/>
      <c r="B23" s="34"/>
      <c r="C23" s="34"/>
      <c r="D23" s="57"/>
      <c r="E23" s="57"/>
      <c r="F23" s="57"/>
      <c r="G23" s="57"/>
      <c r="H23" s="57"/>
      <c r="I23" s="57"/>
      <c r="J23" s="57"/>
      <c r="K23" s="61"/>
      <c r="L23" s="61"/>
      <c r="M23" s="61"/>
      <c r="N23" s="61"/>
      <c r="O23" s="61"/>
      <c r="P23" s="61"/>
      <c r="Q23" s="37"/>
      <c r="R23" s="37"/>
      <c r="S23" s="37"/>
    </row>
    <row r="24" spans="1:19" x14ac:dyDescent="0.25">
      <c r="A24" s="34" t="s">
        <v>1261</v>
      </c>
      <c r="B24" s="108">
        <v>7.3</v>
      </c>
      <c r="C24" s="34" t="s">
        <v>791</v>
      </c>
      <c r="D24" s="57"/>
      <c r="E24" s="57"/>
      <c r="F24" s="114" t="s">
        <v>1232</v>
      </c>
      <c r="G24" s="57"/>
      <c r="H24" s="57"/>
      <c r="I24" s="57"/>
      <c r="J24" s="57"/>
      <c r="K24" s="61"/>
      <c r="L24" s="61"/>
      <c r="M24" s="61"/>
      <c r="N24" s="61"/>
      <c r="O24" s="61"/>
      <c r="P24" s="61"/>
      <c r="Q24" s="37"/>
      <c r="R24" s="37"/>
      <c r="S24" s="37"/>
    </row>
    <row r="25" spans="1:19" ht="17.25" x14ac:dyDescent="0.25">
      <c r="A25" s="34" t="s">
        <v>780</v>
      </c>
      <c r="B25" s="108">
        <v>215.5</v>
      </c>
      <c r="C25" s="34" t="s">
        <v>792</v>
      </c>
      <c r="D25" s="57"/>
      <c r="E25" s="57"/>
      <c r="F25" s="57"/>
      <c r="G25" s="57"/>
      <c r="H25" s="57"/>
      <c r="I25" s="57"/>
      <c r="J25" s="57"/>
      <c r="K25" s="61"/>
      <c r="L25" s="61"/>
      <c r="M25" s="61"/>
      <c r="N25" s="61"/>
      <c r="O25" s="61"/>
      <c r="P25" s="61"/>
      <c r="Q25" s="37"/>
      <c r="R25" s="37"/>
      <c r="S25" s="37"/>
    </row>
    <row r="26" spans="1:19" x14ac:dyDescent="0.25">
      <c r="A26" s="34" t="s">
        <v>781</v>
      </c>
      <c r="B26" s="108">
        <v>87</v>
      </c>
      <c r="C26" s="34" t="s">
        <v>793</v>
      </c>
      <c r="D26" s="57"/>
      <c r="E26" s="57"/>
      <c r="F26" s="57"/>
      <c r="G26" s="57"/>
      <c r="H26" s="57"/>
      <c r="I26" s="57"/>
      <c r="J26" s="57"/>
      <c r="K26" s="61"/>
      <c r="L26" s="61"/>
      <c r="M26" s="61"/>
      <c r="N26" s="61"/>
      <c r="O26" s="61"/>
      <c r="P26" s="61"/>
      <c r="Q26" s="37"/>
      <c r="R26" s="37"/>
      <c r="S26" s="37"/>
    </row>
    <row r="27" spans="1:19" x14ac:dyDescent="0.25">
      <c r="A27" s="34" t="s">
        <v>782</v>
      </c>
      <c r="B27" s="108">
        <v>146</v>
      </c>
      <c r="C27" s="34" t="s">
        <v>793</v>
      </c>
      <c r="D27" s="57"/>
      <c r="E27" s="57"/>
      <c r="F27" s="57"/>
      <c r="G27" s="57"/>
      <c r="H27" s="57"/>
      <c r="I27" s="57"/>
      <c r="J27" s="57"/>
      <c r="K27" s="61"/>
      <c r="L27" s="61"/>
      <c r="M27" s="61"/>
      <c r="N27" s="61"/>
      <c r="O27" s="61"/>
      <c r="P27" s="61"/>
      <c r="Q27" s="37"/>
      <c r="R27" s="37"/>
      <c r="S27" s="37"/>
    </row>
    <row r="28" spans="1:19" x14ac:dyDescent="0.25">
      <c r="A28" s="34" t="s">
        <v>786</v>
      </c>
      <c r="B28" s="108">
        <v>0.46500000000000002</v>
      </c>
      <c r="C28" s="34" t="s">
        <v>1253</v>
      </c>
      <c r="D28" s="57"/>
      <c r="E28" s="57"/>
      <c r="F28" s="314"/>
      <c r="G28" s="57"/>
      <c r="H28" s="57"/>
      <c r="I28" s="57"/>
      <c r="J28" s="57"/>
      <c r="K28" s="61"/>
      <c r="L28" s="61"/>
      <c r="M28" s="61"/>
      <c r="N28" s="61"/>
      <c r="O28" s="61"/>
      <c r="P28" s="61"/>
      <c r="Q28" s="37"/>
      <c r="R28" s="37"/>
      <c r="S28" s="37"/>
    </row>
    <row r="29" spans="1:19" x14ac:dyDescent="0.25">
      <c r="A29" s="34"/>
      <c r="B29" s="222"/>
      <c r="C29" s="34"/>
      <c r="D29" s="57"/>
      <c r="E29" s="57"/>
      <c r="F29" s="314"/>
      <c r="G29" s="57"/>
      <c r="H29" s="57"/>
      <c r="I29" s="57"/>
      <c r="J29" s="57"/>
      <c r="K29" s="61"/>
      <c r="L29" s="61"/>
      <c r="M29" s="61"/>
      <c r="N29" s="61"/>
      <c r="O29" s="61"/>
      <c r="P29" s="61"/>
      <c r="Q29" s="37"/>
      <c r="R29" s="37"/>
      <c r="S29" s="37"/>
    </row>
    <row r="30" spans="1:19" x14ac:dyDescent="0.25">
      <c r="A30" s="34"/>
      <c r="B30" s="34"/>
      <c r="C30" s="34"/>
      <c r="D30" s="57"/>
      <c r="E30" s="57"/>
      <c r="F30" s="314"/>
      <c r="G30" s="57"/>
      <c r="H30" s="57"/>
      <c r="I30" s="57"/>
      <c r="J30" s="57"/>
      <c r="K30" s="61"/>
      <c r="L30" s="61"/>
      <c r="M30" s="61"/>
      <c r="N30" s="61"/>
      <c r="O30" s="61"/>
      <c r="P30" s="61"/>
      <c r="Q30" s="37"/>
      <c r="R30" s="37"/>
      <c r="S30" s="37"/>
    </row>
    <row r="31" spans="1:19" x14ac:dyDescent="0.25">
      <c r="A31" s="34"/>
      <c r="B31" s="34"/>
      <c r="C31" s="34"/>
      <c r="D31" s="57"/>
      <c r="E31" s="57"/>
      <c r="F31" s="114" t="s">
        <v>1216</v>
      </c>
      <c r="G31" s="57"/>
      <c r="H31" s="57"/>
      <c r="I31" s="114">
        <v>3</v>
      </c>
      <c r="J31" s="57" t="s">
        <v>1266</v>
      </c>
      <c r="K31" s="61"/>
      <c r="L31" s="61"/>
      <c r="M31" s="61"/>
      <c r="N31" s="61"/>
      <c r="O31" s="61"/>
      <c r="P31" s="61"/>
      <c r="Q31" s="37"/>
      <c r="R31" s="37"/>
      <c r="S31" s="37"/>
    </row>
    <row r="32" spans="1:19" x14ac:dyDescent="0.25">
      <c r="A32" s="34"/>
      <c r="B32" s="34"/>
      <c r="C32" s="34"/>
      <c r="D32" s="57"/>
      <c r="E32" s="57"/>
      <c r="F32" s="57"/>
      <c r="G32" s="57"/>
      <c r="H32" s="57"/>
      <c r="I32" s="57"/>
      <c r="J32" s="57"/>
      <c r="K32" s="61"/>
      <c r="L32" s="61"/>
      <c r="M32" s="61"/>
      <c r="N32" s="61"/>
      <c r="O32" s="61"/>
      <c r="P32" s="61"/>
      <c r="Q32" s="37"/>
      <c r="R32" s="37"/>
      <c r="S32" s="37"/>
    </row>
    <row r="33" spans="1:19" x14ac:dyDescent="0.25">
      <c r="A33" s="34"/>
      <c r="B33" s="34"/>
      <c r="C33" s="34"/>
      <c r="D33" s="57"/>
      <c r="E33" s="57"/>
      <c r="F33" s="639"/>
      <c r="G33" s="57"/>
      <c r="H33" s="57"/>
      <c r="I33" s="57"/>
      <c r="J33" s="57"/>
      <c r="K33" s="61"/>
      <c r="L33" s="61"/>
      <c r="M33" s="61"/>
      <c r="N33" s="61"/>
      <c r="O33" s="61"/>
      <c r="P33" s="61"/>
      <c r="Q33" s="37"/>
      <c r="R33" s="37"/>
      <c r="S33" s="37"/>
    </row>
    <row r="34" spans="1:19" x14ac:dyDescent="0.25">
      <c r="A34" s="34"/>
      <c r="B34" s="34"/>
      <c r="C34" s="34"/>
      <c r="D34" s="57"/>
      <c r="E34" s="57"/>
      <c r="F34" s="57"/>
      <c r="G34" s="57"/>
      <c r="H34" s="57"/>
      <c r="I34" s="57"/>
      <c r="J34" s="57"/>
      <c r="K34" s="61"/>
      <c r="L34" s="61"/>
      <c r="M34" s="61"/>
      <c r="N34" s="61"/>
      <c r="O34" s="61"/>
      <c r="P34" s="61"/>
      <c r="Q34" s="37"/>
      <c r="R34" s="37"/>
      <c r="S34" s="37"/>
    </row>
    <row r="35" spans="1:19" x14ac:dyDescent="0.25">
      <c r="A35" s="34"/>
      <c r="B35" s="34"/>
      <c r="C35" s="34"/>
      <c r="D35" s="57"/>
      <c r="E35" s="57"/>
      <c r="F35" s="57"/>
      <c r="G35" s="639"/>
      <c r="H35" s="57"/>
      <c r="I35" s="57"/>
      <c r="J35" s="57"/>
      <c r="K35" s="61"/>
      <c r="L35" s="61"/>
      <c r="M35" s="61"/>
      <c r="N35" s="61"/>
      <c r="O35" s="61"/>
      <c r="P35" s="61"/>
      <c r="Q35" s="37"/>
      <c r="R35" s="37"/>
      <c r="S35" s="37"/>
    </row>
    <row r="36" spans="1:19" x14ac:dyDescent="0.25">
      <c r="A36" s="34"/>
      <c r="B36" s="34"/>
      <c r="C36" s="34"/>
      <c r="D36" s="57"/>
      <c r="E36" s="57"/>
      <c r="F36" s="57"/>
      <c r="G36" s="57"/>
      <c r="H36" s="57"/>
      <c r="I36" s="57"/>
      <c r="J36" s="57"/>
      <c r="K36" s="61"/>
      <c r="L36" s="61"/>
      <c r="M36" s="61"/>
      <c r="N36" s="61"/>
      <c r="O36" s="61"/>
      <c r="P36" s="61"/>
      <c r="Q36" s="37"/>
      <c r="R36" s="37"/>
      <c r="S36" s="37"/>
    </row>
    <row r="37" spans="1:19" x14ac:dyDescent="0.25">
      <c r="A37" s="34"/>
      <c r="B37" s="34"/>
      <c r="C37" s="34"/>
      <c r="D37" s="57"/>
      <c r="E37" s="57"/>
      <c r="F37" s="57"/>
      <c r="G37" s="57"/>
      <c r="H37" s="57"/>
      <c r="I37" s="57"/>
      <c r="J37" s="57"/>
      <c r="K37" s="61"/>
      <c r="L37" s="61"/>
      <c r="M37" s="61"/>
      <c r="N37" s="61"/>
      <c r="O37" s="61"/>
      <c r="P37" s="61"/>
      <c r="Q37" s="37"/>
      <c r="R37" s="37"/>
      <c r="S37" s="37"/>
    </row>
    <row r="38" spans="1:19" x14ac:dyDescent="0.25">
      <c r="A38" s="37"/>
      <c r="B38" s="37"/>
      <c r="C38" s="37"/>
      <c r="D38" s="37"/>
      <c r="E38" s="37"/>
      <c r="F38" s="37"/>
      <c r="G38" s="37"/>
      <c r="H38" s="37"/>
      <c r="I38" s="37"/>
      <c r="J38" s="37"/>
      <c r="K38" s="37"/>
      <c r="L38" s="37"/>
      <c r="M38" s="37"/>
      <c r="N38" s="37"/>
      <c r="O38" s="37"/>
      <c r="P38" s="37"/>
      <c r="Q38" s="37"/>
      <c r="R38" s="37"/>
      <c r="S38" s="37"/>
    </row>
    <row r="39" spans="1:19" x14ac:dyDescent="0.25">
      <c r="A39" s="37"/>
      <c r="B39" s="37"/>
      <c r="C39" s="37"/>
      <c r="D39" s="37"/>
      <c r="E39" s="37"/>
      <c r="F39" s="37"/>
      <c r="G39" s="37"/>
      <c r="H39" s="37"/>
      <c r="I39" s="37"/>
      <c r="J39" s="37"/>
      <c r="K39" s="37"/>
      <c r="L39" s="37"/>
      <c r="M39" s="37"/>
      <c r="N39" s="37"/>
      <c r="O39" s="37"/>
      <c r="P39" s="37"/>
      <c r="Q39" s="37"/>
      <c r="R39" s="37"/>
      <c r="S39" s="37"/>
    </row>
    <row r="40" spans="1:19" x14ac:dyDescent="0.25">
      <c r="A40" s="37"/>
      <c r="B40" s="37"/>
      <c r="C40" s="37"/>
      <c r="D40" s="37"/>
      <c r="E40" s="37"/>
      <c r="F40" s="37"/>
      <c r="G40" s="37"/>
      <c r="H40" s="37"/>
      <c r="I40" s="37"/>
      <c r="J40" s="37"/>
      <c r="K40" s="37"/>
      <c r="L40" s="37"/>
      <c r="M40" s="37"/>
      <c r="N40" s="37"/>
      <c r="O40" s="37"/>
      <c r="P40" s="37"/>
      <c r="Q40" s="37"/>
      <c r="R40" s="37"/>
      <c r="S40" s="37"/>
    </row>
    <row r="41" spans="1:19" x14ac:dyDescent="0.25">
      <c r="A41" s="37"/>
      <c r="B41" s="37"/>
      <c r="C41" s="37"/>
      <c r="D41" s="37"/>
      <c r="E41" s="37"/>
      <c r="F41" s="37"/>
      <c r="G41" s="37"/>
      <c r="H41" s="37"/>
      <c r="I41" s="37"/>
      <c r="J41" s="37"/>
      <c r="K41" s="37"/>
      <c r="L41" s="37"/>
      <c r="M41" s="37"/>
      <c r="N41" s="37"/>
      <c r="O41" s="37"/>
      <c r="P41" s="37"/>
      <c r="Q41" s="37"/>
      <c r="R41" s="37"/>
      <c r="S41" s="37"/>
    </row>
    <row r="42" spans="1:19" x14ac:dyDescent="0.25">
      <c r="A42" s="37"/>
      <c r="B42" s="37"/>
      <c r="C42" s="37"/>
      <c r="D42" s="37"/>
      <c r="E42" s="37"/>
      <c r="F42" s="37"/>
      <c r="G42" s="37"/>
      <c r="H42" s="37"/>
      <c r="I42" s="37"/>
      <c r="J42" s="37"/>
      <c r="K42" s="37"/>
      <c r="L42" s="79"/>
      <c r="M42" s="37"/>
      <c r="N42" s="37"/>
      <c r="O42" s="37"/>
      <c r="P42" s="37"/>
      <c r="Q42" s="37"/>
      <c r="R42" s="37"/>
      <c r="S42" s="37"/>
    </row>
    <row r="43" spans="1:19" x14ac:dyDescent="0.25">
      <c r="A43" s="37"/>
      <c r="B43" s="37"/>
      <c r="C43" s="37"/>
      <c r="D43" s="37"/>
      <c r="E43" s="37"/>
      <c r="F43" s="37"/>
      <c r="G43" s="37"/>
      <c r="H43" s="37"/>
      <c r="I43" s="37"/>
      <c r="J43" s="37"/>
      <c r="K43" s="37"/>
      <c r="L43" s="37"/>
      <c r="M43" s="37"/>
      <c r="N43" s="37"/>
      <c r="O43" s="37"/>
      <c r="P43" s="37"/>
      <c r="Q43" s="37"/>
      <c r="R43" s="37"/>
      <c r="S43" s="37"/>
    </row>
    <row r="44" spans="1:19" x14ac:dyDescent="0.25">
      <c r="A44" s="37"/>
      <c r="B44" s="37"/>
      <c r="C44" s="37"/>
      <c r="D44" s="37"/>
      <c r="E44" s="37"/>
      <c r="F44" s="37"/>
      <c r="G44" s="37"/>
      <c r="H44" s="37"/>
      <c r="I44" s="37"/>
      <c r="J44" s="37"/>
      <c r="K44" s="37"/>
      <c r="L44" s="37"/>
      <c r="M44" s="37"/>
      <c r="N44" s="37"/>
      <c r="O44" s="37"/>
      <c r="P44" s="37"/>
      <c r="Q44" s="37"/>
      <c r="R44" s="37"/>
      <c r="S44" s="37"/>
    </row>
    <row r="45" spans="1:19" x14ac:dyDescent="0.25">
      <c r="A45" s="37"/>
      <c r="B45" s="37"/>
      <c r="C45" s="37"/>
      <c r="D45" s="37"/>
      <c r="E45" s="37"/>
      <c r="F45" s="37"/>
      <c r="G45" s="37"/>
      <c r="H45" s="37"/>
      <c r="I45" s="37"/>
      <c r="J45" s="37"/>
      <c r="K45" s="37"/>
      <c r="L45" s="37"/>
      <c r="M45" s="37"/>
      <c r="N45" s="37"/>
      <c r="O45" s="37"/>
      <c r="P45" s="37"/>
      <c r="Q45" s="37"/>
      <c r="R45" s="37"/>
      <c r="S45" s="37"/>
    </row>
    <row r="47" spans="1:19" ht="14.45" customHeight="1" x14ac:dyDescent="0.25">
      <c r="L47" s="39"/>
      <c r="M47" s="39"/>
      <c r="N47" s="6"/>
    </row>
    <row r="89" spans="12:14" ht="15.75" thickBot="1" x14ac:dyDescent="0.3"/>
    <row r="90" spans="12:14" ht="32.25" thickBot="1" x14ac:dyDescent="0.3">
      <c r="L90" s="215" t="s">
        <v>864</v>
      </c>
      <c r="M90" s="216" t="s">
        <v>911</v>
      </c>
      <c r="N90" s="152" t="s">
        <v>865</v>
      </c>
    </row>
    <row r="91" spans="12:14" ht="29.1" customHeight="1" x14ac:dyDescent="0.25">
      <c r="L91" s="164" t="s">
        <v>953</v>
      </c>
      <c r="M91" s="148" t="s">
        <v>882</v>
      </c>
      <c r="N91" s="165" t="s">
        <v>68</v>
      </c>
    </row>
    <row r="92" spans="12:14" ht="60" x14ac:dyDescent="0.25">
      <c r="L92" s="153" t="s">
        <v>898</v>
      </c>
      <c r="M92" s="145" t="s">
        <v>897</v>
      </c>
      <c r="N92" s="154" t="s">
        <v>68</v>
      </c>
    </row>
    <row r="93" spans="12:14" ht="29.1" customHeight="1" x14ac:dyDescent="0.25">
      <c r="L93" s="155" t="s">
        <v>957</v>
      </c>
      <c r="M93" s="146" t="s">
        <v>913</v>
      </c>
      <c r="N93" s="156" t="s">
        <v>68</v>
      </c>
    </row>
    <row r="94" spans="12:14" ht="30" x14ac:dyDescent="0.25">
      <c r="L94" s="157" t="s">
        <v>954</v>
      </c>
      <c r="M94" s="147" t="s">
        <v>881</v>
      </c>
      <c r="N94" s="154" t="s">
        <v>68</v>
      </c>
    </row>
    <row r="95" spans="12:14" ht="45" x14ac:dyDescent="0.25">
      <c r="L95" s="158" t="s">
        <v>952</v>
      </c>
      <c r="M95" s="148" t="s">
        <v>884</v>
      </c>
      <c r="N95" s="156" t="s">
        <v>68</v>
      </c>
    </row>
    <row r="96" spans="12:14" ht="75" x14ac:dyDescent="0.25">
      <c r="L96" s="153" t="s">
        <v>955</v>
      </c>
      <c r="M96" s="145" t="s">
        <v>940</v>
      </c>
      <c r="N96" s="154" t="s">
        <v>68</v>
      </c>
    </row>
    <row r="97" spans="12:14" ht="27" customHeight="1" x14ac:dyDescent="0.25">
      <c r="L97" s="155" t="s">
        <v>950</v>
      </c>
      <c r="M97" s="146" t="s">
        <v>885</v>
      </c>
      <c r="N97" s="156" t="s">
        <v>68</v>
      </c>
    </row>
    <row r="98" spans="12:14" ht="27" customHeight="1" x14ac:dyDescent="0.25">
      <c r="L98" s="159" t="s">
        <v>951</v>
      </c>
      <c r="M98" s="145" t="s">
        <v>886</v>
      </c>
      <c r="N98" s="154" t="s">
        <v>68</v>
      </c>
    </row>
    <row r="99" spans="12:14" ht="45" x14ac:dyDescent="0.25">
      <c r="L99" s="160" t="s">
        <v>866</v>
      </c>
      <c r="M99" s="146" t="s">
        <v>883</v>
      </c>
      <c r="N99" s="156" t="s">
        <v>68</v>
      </c>
    </row>
    <row r="100" spans="12:14" ht="45" x14ac:dyDescent="0.25">
      <c r="L100" s="157" t="s">
        <v>867</v>
      </c>
      <c r="M100" s="145" t="s">
        <v>888</v>
      </c>
      <c r="N100" s="154" t="s">
        <v>68</v>
      </c>
    </row>
    <row r="101" spans="12:14" ht="45" x14ac:dyDescent="0.25">
      <c r="L101" s="160" t="s">
        <v>868</v>
      </c>
      <c r="M101" s="146" t="s">
        <v>887</v>
      </c>
      <c r="N101" s="156" t="s">
        <v>68</v>
      </c>
    </row>
    <row r="102" spans="12:14" ht="45.75" thickBot="1" x14ac:dyDescent="0.3">
      <c r="L102" s="161" t="s">
        <v>869</v>
      </c>
      <c r="M102" s="162" t="s">
        <v>889</v>
      </c>
      <c r="N102" s="163" t="s">
        <v>68</v>
      </c>
    </row>
    <row r="103" spans="12:14" ht="75" x14ac:dyDescent="0.25">
      <c r="L103" s="166" t="s">
        <v>944</v>
      </c>
      <c r="M103" s="167" t="s">
        <v>896</v>
      </c>
      <c r="N103" s="168" t="s">
        <v>128</v>
      </c>
    </row>
    <row r="104" spans="12:14" ht="45" x14ac:dyDescent="0.25">
      <c r="L104" s="169" t="s">
        <v>945</v>
      </c>
      <c r="M104" s="52" t="s">
        <v>901</v>
      </c>
      <c r="N104" s="170" t="s">
        <v>128</v>
      </c>
    </row>
    <row r="105" spans="12:14" ht="30" x14ac:dyDescent="0.25">
      <c r="L105" s="171" t="s">
        <v>890</v>
      </c>
      <c r="M105" s="51" t="s">
        <v>900</v>
      </c>
      <c r="N105" s="172" t="s">
        <v>128</v>
      </c>
    </row>
    <row r="106" spans="12:14" ht="90" x14ac:dyDescent="0.25">
      <c r="L106" s="169" t="s">
        <v>903</v>
      </c>
      <c r="M106" s="52" t="s">
        <v>904</v>
      </c>
      <c r="N106" s="170" t="s">
        <v>128</v>
      </c>
    </row>
    <row r="107" spans="12:14" ht="30" x14ac:dyDescent="0.25">
      <c r="L107" s="173" t="s">
        <v>905</v>
      </c>
      <c r="M107" s="51" t="s">
        <v>906</v>
      </c>
      <c r="N107" s="172" t="s">
        <v>128</v>
      </c>
    </row>
    <row r="108" spans="12:14" ht="45" x14ac:dyDescent="0.25">
      <c r="L108" s="174" t="s">
        <v>891</v>
      </c>
      <c r="M108" s="52" t="s">
        <v>902</v>
      </c>
      <c r="N108" s="170" t="s">
        <v>128</v>
      </c>
    </row>
    <row r="109" spans="12:14" ht="75" x14ac:dyDescent="0.25">
      <c r="L109" s="173" t="s">
        <v>892</v>
      </c>
      <c r="M109" s="51" t="s">
        <v>907</v>
      </c>
      <c r="N109" s="172" t="s">
        <v>128</v>
      </c>
    </row>
    <row r="110" spans="12:14" ht="30" x14ac:dyDescent="0.25">
      <c r="L110" s="174" t="s">
        <v>893</v>
      </c>
      <c r="M110" s="52" t="s">
        <v>908</v>
      </c>
      <c r="N110" s="170" t="s">
        <v>128</v>
      </c>
    </row>
    <row r="111" spans="12:14" ht="30" x14ac:dyDescent="0.25">
      <c r="L111" s="173" t="s">
        <v>862</v>
      </c>
      <c r="M111" s="51" t="s">
        <v>909</v>
      </c>
      <c r="N111" s="172" t="s">
        <v>128</v>
      </c>
    </row>
    <row r="112" spans="12:14" ht="45" x14ac:dyDescent="0.25">
      <c r="L112" s="174" t="s">
        <v>894</v>
      </c>
      <c r="M112" s="52" t="s">
        <v>910</v>
      </c>
      <c r="N112" s="170" t="s">
        <v>128</v>
      </c>
    </row>
    <row r="113" spans="12:14" ht="30" x14ac:dyDescent="0.25">
      <c r="L113" s="173" t="s">
        <v>895</v>
      </c>
      <c r="M113" s="51" t="s">
        <v>912</v>
      </c>
      <c r="N113" s="172" t="s">
        <v>128</v>
      </c>
    </row>
    <row r="114" spans="12:14" ht="45" x14ac:dyDescent="0.25">
      <c r="L114" s="175" t="s">
        <v>870</v>
      </c>
      <c r="M114" s="52" t="s">
        <v>914</v>
      </c>
      <c r="N114" s="170" t="s">
        <v>128</v>
      </c>
    </row>
    <row r="115" spans="12:14" ht="45.75" thickBot="1" x14ac:dyDescent="0.3">
      <c r="L115" s="176" t="s">
        <v>916</v>
      </c>
      <c r="M115" s="177" t="s">
        <v>915</v>
      </c>
      <c r="N115" s="178" t="s">
        <v>128</v>
      </c>
    </row>
    <row r="116" spans="12:14" ht="90" x14ac:dyDescent="0.25">
      <c r="L116" s="179" t="s">
        <v>855</v>
      </c>
      <c r="M116" s="180" t="s">
        <v>994</v>
      </c>
      <c r="N116" s="181" t="s">
        <v>941</v>
      </c>
    </row>
    <row r="117" spans="12:14" x14ac:dyDescent="0.25">
      <c r="L117" s="182" t="s">
        <v>1081</v>
      </c>
      <c r="M117" s="149" t="s">
        <v>1117</v>
      </c>
      <c r="N117" s="183" t="s">
        <v>941</v>
      </c>
    </row>
    <row r="118" spans="12:14" ht="30" x14ac:dyDescent="0.25">
      <c r="L118" s="184" t="s">
        <v>1082</v>
      </c>
      <c r="M118" s="149" t="s">
        <v>1083</v>
      </c>
      <c r="N118" s="183" t="s">
        <v>941</v>
      </c>
    </row>
    <row r="119" spans="12:14" ht="92.25" x14ac:dyDescent="0.25">
      <c r="L119" s="185" t="s">
        <v>946</v>
      </c>
      <c r="M119" s="66" t="s">
        <v>918</v>
      </c>
      <c r="N119" s="186" t="s">
        <v>941</v>
      </c>
    </row>
    <row r="120" spans="12:14" ht="30" x14ac:dyDescent="0.25">
      <c r="L120" s="187" t="s">
        <v>947</v>
      </c>
      <c r="M120" s="149" t="s">
        <v>917</v>
      </c>
      <c r="N120" s="183" t="s">
        <v>941</v>
      </c>
    </row>
    <row r="121" spans="12:14" ht="81.75" x14ac:dyDescent="0.25">
      <c r="L121" s="188" t="s">
        <v>871</v>
      </c>
      <c r="M121" s="149" t="s">
        <v>919</v>
      </c>
      <c r="N121" s="183" t="s">
        <v>941</v>
      </c>
    </row>
    <row r="122" spans="12:14" ht="30" x14ac:dyDescent="0.25">
      <c r="L122" s="189" t="s">
        <v>956</v>
      </c>
      <c r="M122" s="66" t="s">
        <v>917</v>
      </c>
      <c r="N122" s="186" t="s">
        <v>941</v>
      </c>
    </row>
    <row r="123" spans="12:14" ht="60" x14ac:dyDescent="0.25">
      <c r="L123" s="188" t="s">
        <v>863</v>
      </c>
      <c r="M123" s="149" t="s">
        <v>880</v>
      </c>
      <c r="N123" s="183" t="s">
        <v>941</v>
      </c>
    </row>
    <row r="124" spans="12:14" ht="45" x14ac:dyDescent="0.25">
      <c r="L124" s="190" t="s">
        <v>899</v>
      </c>
      <c r="M124" s="66" t="s">
        <v>920</v>
      </c>
      <c r="N124" s="186" t="s">
        <v>941</v>
      </c>
    </row>
    <row r="125" spans="12:14" ht="30" x14ac:dyDescent="0.25">
      <c r="L125" s="188" t="s">
        <v>857</v>
      </c>
      <c r="M125" s="149" t="s">
        <v>921</v>
      </c>
      <c r="N125" s="183" t="s">
        <v>941</v>
      </c>
    </row>
    <row r="126" spans="12:14" ht="30.75" thickBot="1" x14ac:dyDescent="0.3">
      <c r="L126" s="191" t="s">
        <v>856</v>
      </c>
      <c r="M126" s="192" t="s">
        <v>932</v>
      </c>
      <c r="N126" s="193" t="s">
        <v>941</v>
      </c>
    </row>
    <row r="127" spans="12:14" ht="60" x14ac:dyDescent="0.25">
      <c r="L127" s="194" t="s">
        <v>872</v>
      </c>
      <c r="M127" s="195" t="s">
        <v>922</v>
      </c>
      <c r="N127" s="196" t="s">
        <v>942</v>
      </c>
    </row>
    <row r="128" spans="12:14" ht="30" x14ac:dyDescent="0.25">
      <c r="L128" s="197" t="s">
        <v>861</v>
      </c>
      <c r="M128" s="151" t="s">
        <v>923</v>
      </c>
      <c r="N128" s="198" t="s">
        <v>942</v>
      </c>
    </row>
    <row r="129" spans="12:14" ht="135" x14ac:dyDescent="0.25">
      <c r="L129" s="199" t="s">
        <v>873</v>
      </c>
      <c r="M129" s="150" t="s">
        <v>924</v>
      </c>
      <c r="N129" s="200" t="s">
        <v>942</v>
      </c>
    </row>
    <row r="130" spans="12:14" ht="30" x14ac:dyDescent="0.25">
      <c r="L130" s="199" t="s">
        <v>874</v>
      </c>
      <c r="M130" s="150" t="s">
        <v>925</v>
      </c>
      <c r="N130" s="200" t="s">
        <v>942</v>
      </c>
    </row>
    <row r="131" spans="12:14" ht="30" x14ac:dyDescent="0.25">
      <c r="L131" s="199" t="s">
        <v>875</v>
      </c>
      <c r="M131" s="150" t="s">
        <v>926</v>
      </c>
      <c r="N131" s="200" t="s">
        <v>942</v>
      </c>
    </row>
    <row r="132" spans="12:14" ht="30" x14ac:dyDescent="0.25">
      <c r="L132" s="201" t="s">
        <v>876</v>
      </c>
      <c r="M132" s="151" t="s">
        <v>927</v>
      </c>
      <c r="N132" s="198" t="s">
        <v>942</v>
      </c>
    </row>
    <row r="133" spans="12:14" ht="30" x14ac:dyDescent="0.25">
      <c r="L133" s="199" t="s">
        <v>858</v>
      </c>
      <c r="M133" s="150" t="s">
        <v>928</v>
      </c>
      <c r="N133" s="200" t="s">
        <v>942</v>
      </c>
    </row>
    <row r="134" spans="12:14" ht="30" x14ac:dyDescent="0.25">
      <c r="L134" s="201" t="s">
        <v>859</v>
      </c>
      <c r="M134" s="151" t="s">
        <v>929</v>
      </c>
      <c r="N134" s="198" t="s">
        <v>942</v>
      </c>
    </row>
    <row r="135" spans="12:14" ht="30.75" thickBot="1" x14ac:dyDescent="0.3">
      <c r="L135" s="202" t="s">
        <v>860</v>
      </c>
      <c r="M135" s="203" t="s">
        <v>930</v>
      </c>
      <c r="N135" s="204" t="s">
        <v>942</v>
      </c>
    </row>
    <row r="136" spans="12:14" ht="45" x14ac:dyDescent="0.25">
      <c r="L136" s="205" t="s">
        <v>877</v>
      </c>
      <c r="M136" s="206" t="s">
        <v>931</v>
      </c>
      <c r="N136" s="207" t="s">
        <v>943</v>
      </c>
    </row>
    <row r="137" spans="12:14" ht="45" x14ac:dyDescent="0.25">
      <c r="L137" s="208" t="s">
        <v>916</v>
      </c>
      <c r="M137" s="53" t="s">
        <v>933</v>
      </c>
      <c r="N137" s="209" t="s">
        <v>943</v>
      </c>
    </row>
    <row r="138" spans="12:14" ht="45" x14ac:dyDescent="0.25">
      <c r="L138" s="210" t="s">
        <v>878</v>
      </c>
      <c r="M138" s="54" t="s">
        <v>934</v>
      </c>
      <c r="N138" s="211" t="s">
        <v>943</v>
      </c>
    </row>
    <row r="139" spans="12:14" ht="45" x14ac:dyDescent="0.25">
      <c r="L139" s="208" t="s">
        <v>936</v>
      </c>
      <c r="M139" s="53" t="s">
        <v>935</v>
      </c>
      <c r="N139" s="209" t="s">
        <v>943</v>
      </c>
    </row>
    <row r="140" spans="12:14" ht="45" x14ac:dyDescent="0.25">
      <c r="L140" s="210" t="s">
        <v>937</v>
      </c>
      <c r="M140" s="54" t="s">
        <v>938</v>
      </c>
      <c r="N140" s="211" t="s">
        <v>943</v>
      </c>
    </row>
    <row r="141" spans="12:14" ht="45.75" thickBot="1" x14ac:dyDescent="0.3">
      <c r="L141" s="212" t="s">
        <v>879</v>
      </c>
      <c r="M141" s="213" t="s">
        <v>939</v>
      </c>
      <c r="N141" s="214" t="s">
        <v>943</v>
      </c>
    </row>
    <row r="142" spans="12:14" x14ac:dyDescent="0.25">
      <c r="L142" s="62"/>
      <c r="M142" s="218"/>
      <c r="N142" s="217"/>
    </row>
  </sheetData>
  <sheetProtection sheet="1" objects="1" scenarios="1"/>
  <dataValidations count="10">
    <dataValidation type="list" allowBlank="1" showInputMessage="1" showErrorMessage="1" sqref="H16" xr:uid="{00000000-0002-0000-0000-000000000000}">
      <formula1>"1,2,3,4,5,6,7,8,9"</formula1>
    </dataValidation>
    <dataValidation type="list" allowBlank="1" showInputMessage="1" showErrorMessage="1" sqref="M10" xr:uid="{00000000-0002-0000-0000-000001000000}">
      <formula1>$L$91:$L$141</formula1>
    </dataValidation>
    <dataValidation type="list" allowBlank="1" showInputMessage="1" showErrorMessage="1" sqref="F22" xr:uid="{00000000-0002-0000-0000-000002000000}">
      <formula1>"assembly,component,both"</formula1>
    </dataValidation>
    <dataValidation type="list" allowBlank="1" showInputMessage="1" showErrorMessage="1" sqref="F24 F29:F30" xr:uid="{00000000-0002-0000-0000-000003000000}">
      <formula1>"Yes,No"</formula1>
    </dataValidation>
    <dataValidation type="decimal" allowBlank="1" showInputMessage="1" showErrorMessage="1" sqref="E10:E16 H15 K24" xr:uid="{00000000-0002-0000-0000-000004000000}">
      <formula1>0</formula1>
      <formula2>1</formula2>
    </dataValidation>
    <dataValidation type="list" allowBlank="1" showInputMessage="1" showErrorMessage="1" sqref="F31" xr:uid="{00000000-0002-0000-0000-000005000000}">
      <formula1>"A. of ORUs, 0.001"</formula1>
    </dataValidation>
    <dataValidation type="date" allowBlank="1" showInputMessage="1" showErrorMessage="1" sqref="B16" xr:uid="{00000000-0002-0000-0000-000006000000}">
      <formula1>44927</formula1>
      <formula2>48580</formula2>
    </dataValidation>
    <dataValidation type="whole" allowBlank="1" showInputMessage="1" showErrorMessage="1" sqref="I31" xr:uid="{00000000-0002-0000-0000-000007000000}">
      <formula1>1</formula1>
      <formula2>5</formula2>
    </dataValidation>
    <dataValidation type="whole" allowBlank="1" showInputMessage="1" showErrorMessage="1" sqref="B15" xr:uid="{00000000-0002-0000-0000-000008000000}">
      <formula1>1</formula1>
      <formula2>10</formula2>
    </dataValidation>
    <dataValidation type="list" allowBlank="1" showInputMessage="1" showErrorMessage="1" sqref="B12" xr:uid="{00000000-0002-0000-0000-000009000000}">
      <formula1>"1,2"</formula1>
    </dataValidation>
  </dataValidations>
  <hyperlinks>
    <hyperlink ref="M12" location="'ECLSS Functions'!A1" display="Descriptions of all currently available functions can be found here" xr:uid="{00000000-0004-0000-0000-000000000000}"/>
  </hyperlink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Tabelle1.PerformMCA">
                <anchor moveWithCells="1" sizeWithCells="1">
                  <from>
                    <xdr:col>12</xdr:col>
                    <xdr:colOff>1952625</xdr:colOff>
                    <xdr:row>14</xdr:row>
                    <xdr:rowOff>28575</xdr:rowOff>
                  </from>
                  <to>
                    <xdr:col>12</xdr:col>
                    <xdr:colOff>3343275</xdr:colOff>
                    <xdr:row>17</xdr:row>
                    <xdr:rowOff>47625</xdr:rowOff>
                  </to>
                </anchor>
              </controlPr>
            </control>
          </mc:Choice>
        </mc:AlternateContent>
        <mc:AlternateContent xmlns:mc="http://schemas.openxmlformats.org/markup-compatibility/2006">
          <mc:Choice Requires="x14">
            <control shapeId="1030" r:id="rId5" name="Button 6">
              <controlPr defaultSize="0" print="0" autoFill="0" autoPict="0" macro="[0]!Tabelle1.calculatesystemproperties">
                <anchor moveWithCells="1" sizeWithCells="1">
                  <from>
                    <xdr:col>12</xdr:col>
                    <xdr:colOff>28575</xdr:colOff>
                    <xdr:row>14</xdr:row>
                    <xdr:rowOff>28575</xdr:rowOff>
                  </from>
                  <to>
                    <xdr:col>12</xdr:col>
                    <xdr:colOff>1790700</xdr:colOff>
                    <xdr:row>17</xdr:row>
                    <xdr:rowOff>47625</xdr:rowOff>
                  </to>
                </anchor>
              </controlPr>
            </control>
          </mc:Choice>
        </mc:AlternateContent>
        <mc:AlternateContent xmlns:mc="http://schemas.openxmlformats.org/markup-compatibility/2006">
          <mc:Choice Requires="x14">
            <control shapeId="1031" r:id="rId6" name="Button 7">
              <controlPr defaultSize="0" print="0" autoFill="0" autoPict="0" macro="[0]!Tabelle1.usersguide">
                <anchor moveWithCells="1" sizeWithCells="1">
                  <from>
                    <xdr:col>12</xdr:col>
                    <xdr:colOff>0</xdr:colOff>
                    <xdr:row>0</xdr:row>
                    <xdr:rowOff>152400</xdr:rowOff>
                  </from>
                  <to>
                    <xdr:col>12</xdr:col>
                    <xdr:colOff>1724025</xdr:colOff>
                    <xdr:row>2</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1"/>
  <dimension ref="A1:S363"/>
  <sheetViews>
    <sheetView workbookViewId="0">
      <pane ySplit="2" topLeftCell="A3" activePane="bottomLeft" state="frozen"/>
      <selection pane="bottomLeft" activeCell="C10" sqref="C10"/>
    </sheetView>
  </sheetViews>
  <sheetFormatPr defaultColWidth="11.42578125" defaultRowHeight="14.1" customHeight="1" x14ac:dyDescent="0.25"/>
  <cols>
    <col min="1" max="1" width="35.42578125" customWidth="1"/>
    <col min="2" max="2" width="13.5703125" customWidth="1"/>
    <col min="16" max="16" width="13.42578125" customWidth="1"/>
    <col min="17" max="18" width="12.5703125" customWidth="1"/>
  </cols>
  <sheetData>
    <row r="1" spans="1:19" ht="45" x14ac:dyDescent="0.25">
      <c r="A1" s="288" t="s">
        <v>1073</v>
      </c>
      <c r="B1" s="289" t="s">
        <v>1468</v>
      </c>
      <c r="C1" s="289" t="s">
        <v>1144</v>
      </c>
      <c r="D1" s="289" t="s">
        <v>964</v>
      </c>
      <c r="E1" s="289" t="s">
        <v>1151</v>
      </c>
      <c r="F1" s="289" t="s">
        <v>1145</v>
      </c>
      <c r="G1" s="289" t="s">
        <v>1254</v>
      </c>
      <c r="H1" s="289" t="s">
        <v>1255</v>
      </c>
      <c r="I1" s="289" t="s">
        <v>1448</v>
      </c>
      <c r="J1" s="289" t="s">
        <v>1256</v>
      </c>
      <c r="K1" s="289" t="s">
        <v>1458</v>
      </c>
      <c r="L1" s="289" t="s">
        <v>1457</v>
      </c>
      <c r="M1" s="289" t="s">
        <v>1399</v>
      </c>
      <c r="N1" s="289" t="s">
        <v>1395</v>
      </c>
      <c r="O1" s="290" t="s">
        <v>846</v>
      </c>
      <c r="P1" s="289" t="s">
        <v>1258</v>
      </c>
      <c r="Q1" s="289" t="s">
        <v>1397</v>
      </c>
      <c r="R1" s="289" t="s">
        <v>1456</v>
      </c>
      <c r="S1" s="291" t="s">
        <v>2</v>
      </c>
    </row>
    <row r="2" spans="1:19" ht="17.25" x14ac:dyDescent="0.25">
      <c r="A2" s="292"/>
      <c r="B2" s="293"/>
      <c r="C2" s="293"/>
      <c r="D2" s="293"/>
      <c r="E2" s="293"/>
      <c r="F2" s="293"/>
      <c r="G2" s="293" t="s">
        <v>787</v>
      </c>
      <c r="H2" s="293" t="s">
        <v>1396</v>
      </c>
      <c r="I2" s="293" t="s">
        <v>789</v>
      </c>
      <c r="J2" s="293" t="s">
        <v>789</v>
      </c>
      <c r="K2" s="294" t="s">
        <v>787</v>
      </c>
      <c r="L2" s="293" t="s">
        <v>1396</v>
      </c>
      <c r="M2" s="294" t="s">
        <v>787</v>
      </c>
      <c r="N2" s="294" t="s">
        <v>1398</v>
      </c>
      <c r="O2" s="295" t="s">
        <v>1398</v>
      </c>
      <c r="P2" s="293" t="s">
        <v>790</v>
      </c>
      <c r="Q2" s="293" t="s">
        <v>787</v>
      </c>
      <c r="R2" s="293" t="s">
        <v>787</v>
      </c>
      <c r="S2" s="296" t="s">
        <v>787</v>
      </c>
    </row>
    <row r="3" spans="1:19" ht="15" x14ac:dyDescent="0.25">
      <c r="A3" t="s">
        <v>1564</v>
      </c>
      <c r="B3" t="s">
        <v>1277</v>
      </c>
      <c r="C3" t="s">
        <v>66</v>
      </c>
      <c r="D3" t="s">
        <v>131</v>
      </c>
      <c r="E3" t="s">
        <v>24</v>
      </c>
      <c r="F3" t="s">
        <v>35</v>
      </c>
      <c r="G3">
        <v>5796.2380523840184</v>
      </c>
      <c r="H3">
        <v>54.427818160717173</v>
      </c>
      <c r="I3">
        <v>0</v>
      </c>
      <c r="J3">
        <v>0</v>
      </c>
      <c r="K3">
        <v>60</v>
      </c>
      <c r="L3">
        <v>0.24</v>
      </c>
      <c r="M3">
        <v>15314.162088607156</v>
      </c>
      <c r="N3">
        <v>0.95704732338911225</v>
      </c>
      <c r="O3">
        <v>0.99999985054815832</v>
      </c>
      <c r="P3">
        <v>0</v>
      </c>
      <c r="Q3">
        <v>239729.04316876779</v>
      </c>
      <c r="R3">
        <v>239729.04316876779</v>
      </c>
      <c r="S3">
        <v>240544.5991687678</v>
      </c>
    </row>
    <row r="4" spans="1:19" ht="15" x14ac:dyDescent="0.25">
      <c r="A4" t="s">
        <v>1565</v>
      </c>
      <c r="B4" t="s">
        <v>1277</v>
      </c>
      <c r="C4" t="s">
        <v>66</v>
      </c>
      <c r="D4" t="s">
        <v>131</v>
      </c>
      <c r="E4" t="s">
        <v>24</v>
      </c>
      <c r="F4" t="s">
        <v>35</v>
      </c>
      <c r="G4">
        <v>76.472967428801979</v>
      </c>
      <c r="H4">
        <v>0.41906891931526968</v>
      </c>
      <c r="I4">
        <v>0</v>
      </c>
      <c r="J4">
        <v>0</v>
      </c>
      <c r="K4">
        <v>60</v>
      </c>
      <c r="L4">
        <v>0.24</v>
      </c>
      <c r="M4">
        <v>149.61798530177919</v>
      </c>
      <c r="N4">
        <v>0.95704732338911225</v>
      </c>
      <c r="O4">
        <v>0.99999985054815832</v>
      </c>
      <c r="P4">
        <v>0</v>
      </c>
      <c r="Q4">
        <v>2309.722225354059</v>
      </c>
      <c r="R4">
        <v>2309.722225354059</v>
      </c>
      <c r="S4">
        <v>3125.278225354059</v>
      </c>
    </row>
    <row r="5" spans="1:19" ht="15" x14ac:dyDescent="0.25">
      <c r="A5" t="s">
        <v>1566</v>
      </c>
      <c r="B5" t="s">
        <v>1500</v>
      </c>
      <c r="C5" t="s">
        <v>66</v>
      </c>
      <c r="D5" t="s">
        <v>131</v>
      </c>
      <c r="E5" t="s">
        <v>24</v>
      </c>
      <c r="F5" t="s">
        <v>35</v>
      </c>
      <c r="G5">
        <v>6679.5614211814609</v>
      </c>
      <c r="H5">
        <v>13.192017321112367</v>
      </c>
      <c r="I5">
        <v>0</v>
      </c>
      <c r="J5">
        <v>0</v>
      </c>
      <c r="K5">
        <v>60</v>
      </c>
      <c r="L5">
        <v>0.24</v>
      </c>
      <c r="M5">
        <v>15314.162088607156</v>
      </c>
      <c r="N5">
        <v>0.83786006702196225</v>
      </c>
      <c r="O5">
        <v>0.9999645626401642</v>
      </c>
      <c r="P5">
        <v>0</v>
      </c>
      <c r="Q5">
        <v>181307.2036701648</v>
      </c>
      <c r="R5">
        <v>181307.2036701648</v>
      </c>
      <c r="S5">
        <v>182122.75967016481</v>
      </c>
    </row>
    <row r="6" spans="1:19" ht="15" x14ac:dyDescent="0.25">
      <c r="A6" t="s">
        <v>1567</v>
      </c>
      <c r="B6" t="s">
        <v>1500</v>
      </c>
      <c r="C6" t="s">
        <v>66</v>
      </c>
      <c r="D6" t="s">
        <v>131</v>
      </c>
      <c r="E6" t="s">
        <v>24</v>
      </c>
      <c r="F6" t="s">
        <v>35</v>
      </c>
      <c r="G6">
        <v>75.077480142383394</v>
      </c>
      <c r="H6">
        <v>0.19745096615841351</v>
      </c>
      <c r="I6">
        <v>0</v>
      </c>
      <c r="J6">
        <v>0</v>
      </c>
      <c r="K6">
        <v>60</v>
      </c>
      <c r="L6">
        <v>0.24</v>
      </c>
      <c r="M6">
        <v>149.61798530177919</v>
      </c>
      <c r="N6">
        <v>0.83786006702196225</v>
      </c>
      <c r="O6">
        <v>0.9999645626401642</v>
      </c>
      <c r="P6">
        <v>0</v>
      </c>
      <c r="Q6">
        <v>1950.8968851544951</v>
      </c>
      <c r="R6">
        <v>1950.8968851544951</v>
      </c>
      <c r="S6">
        <v>2766.4528851544951</v>
      </c>
    </row>
    <row r="7" spans="1:19" ht="15" x14ac:dyDescent="0.25">
      <c r="A7" t="s">
        <v>1568</v>
      </c>
      <c r="B7" t="s">
        <v>1274</v>
      </c>
      <c r="C7" t="s">
        <v>46</v>
      </c>
      <c r="D7" t="s">
        <v>131</v>
      </c>
      <c r="E7" t="s">
        <v>24</v>
      </c>
      <c r="F7" t="s">
        <v>35</v>
      </c>
      <c r="G7">
        <v>16586.60446789669</v>
      </c>
      <c r="H7">
        <v>11.046531897482888</v>
      </c>
      <c r="I7">
        <v>0</v>
      </c>
      <c r="J7">
        <v>0</v>
      </c>
      <c r="K7">
        <v>60</v>
      </c>
      <c r="L7">
        <v>0.24</v>
      </c>
      <c r="M7">
        <v>10989.494999999999</v>
      </c>
      <c r="N7">
        <v>0.80007894711345862</v>
      </c>
      <c r="O7">
        <v>0.99991367118571051</v>
      </c>
      <c r="P7">
        <v>0</v>
      </c>
      <c r="Q7">
        <v>218683.37777017101</v>
      </c>
      <c r="R7">
        <v>218683.37777017101</v>
      </c>
      <c r="S7">
        <v>219498.93377017102</v>
      </c>
    </row>
    <row r="8" spans="1:19" ht="15" x14ac:dyDescent="0.25">
      <c r="A8" t="s">
        <v>1569</v>
      </c>
      <c r="B8" t="s">
        <v>1274</v>
      </c>
      <c r="C8" t="s">
        <v>46</v>
      </c>
      <c r="D8" t="s">
        <v>131</v>
      </c>
      <c r="E8" t="s">
        <v>24</v>
      </c>
      <c r="F8" t="s">
        <v>35</v>
      </c>
      <c r="G8">
        <v>21374.459512456688</v>
      </c>
      <c r="H8">
        <v>14.236652731413034</v>
      </c>
      <c r="I8">
        <v>0</v>
      </c>
      <c r="J8">
        <v>0</v>
      </c>
      <c r="K8">
        <v>60</v>
      </c>
      <c r="L8">
        <v>0.24</v>
      </c>
      <c r="M8">
        <v>0</v>
      </c>
      <c r="N8">
        <v>0.80007894711345862</v>
      </c>
      <c r="O8">
        <v>0.99991367118571051</v>
      </c>
      <c r="P8">
        <v>0</v>
      </c>
      <c r="Q8">
        <v>178429.94468535623</v>
      </c>
      <c r="R8">
        <v>178429.94468535623</v>
      </c>
      <c r="S8">
        <v>179245.50068535624</v>
      </c>
    </row>
    <row r="9" spans="1:19" ht="15" x14ac:dyDescent="0.25">
      <c r="A9" t="s">
        <v>2015</v>
      </c>
      <c r="C9" t="s">
        <v>22</v>
      </c>
      <c r="D9" t="s">
        <v>23</v>
      </c>
      <c r="E9" t="s">
        <v>24</v>
      </c>
      <c r="F9" t="s">
        <v>26</v>
      </c>
      <c r="G9">
        <v>188.7475</v>
      </c>
      <c r="H9">
        <v>0.38</v>
      </c>
      <c r="I9">
        <v>0</v>
      </c>
      <c r="J9">
        <v>0</v>
      </c>
      <c r="K9">
        <v>351.07034999999996</v>
      </c>
      <c r="L9">
        <v>1.4042813999999999</v>
      </c>
      <c r="M9">
        <v>0</v>
      </c>
      <c r="N9">
        <v>0.93521695031528318</v>
      </c>
      <c r="O9">
        <v>0.99999920523111141</v>
      </c>
      <c r="P9">
        <v>1.2176560121765602E-3</v>
      </c>
      <c r="Q9">
        <v>1975.6537499999999</v>
      </c>
      <c r="R9">
        <v>1975.6578833333333</v>
      </c>
      <c r="S9">
        <v>6747.6167227433334</v>
      </c>
    </row>
    <row r="10" spans="1:19" ht="15" x14ac:dyDescent="0.25">
      <c r="A10" t="s">
        <v>1570</v>
      </c>
      <c r="B10" t="s">
        <v>1469</v>
      </c>
      <c r="C10" t="s">
        <v>22</v>
      </c>
      <c r="D10" t="s">
        <v>116</v>
      </c>
      <c r="E10" t="s">
        <v>34</v>
      </c>
      <c r="F10" t="s">
        <v>35</v>
      </c>
      <c r="G10">
        <v>439.89705882352962</v>
      </c>
      <c r="H10">
        <v>0.56397058823529433</v>
      </c>
      <c r="I10">
        <v>281.98529411764719</v>
      </c>
      <c r="J10">
        <v>1203.1372549019611</v>
      </c>
      <c r="K10">
        <v>156.78000000000003</v>
      </c>
      <c r="L10">
        <v>0.62712000000000012</v>
      </c>
      <c r="M10">
        <v>0</v>
      </c>
      <c r="N10">
        <v>0</v>
      </c>
      <c r="O10">
        <v>0</v>
      </c>
      <c r="P10">
        <v>0.05</v>
      </c>
      <c r="Q10">
        <v>5163.1112573529435</v>
      </c>
      <c r="R10">
        <v>5163.2809823529433</v>
      </c>
      <c r="S10">
        <v>7294.328810352943</v>
      </c>
    </row>
    <row r="11" spans="1:19" ht="15" x14ac:dyDescent="0.25">
      <c r="A11" t="s">
        <v>1571</v>
      </c>
      <c r="B11" t="s">
        <v>657</v>
      </c>
      <c r="C11" t="s">
        <v>46</v>
      </c>
      <c r="D11" t="s">
        <v>1160</v>
      </c>
      <c r="E11" t="s">
        <v>24</v>
      </c>
      <c r="F11" t="s">
        <v>35</v>
      </c>
      <c r="G11">
        <v>142.72630680628268</v>
      </c>
      <c r="H11">
        <v>0.3938363874345549</v>
      </c>
      <c r="I11">
        <v>1514.9573036649213</v>
      </c>
      <c r="J11">
        <v>1821.0994554973818</v>
      </c>
      <c r="K11">
        <v>43.709931459424084</v>
      </c>
      <c r="L11">
        <v>0.17483972583769633</v>
      </c>
      <c r="M11">
        <v>111.84953403141358</v>
      </c>
      <c r="N11">
        <v>0.48675225595997162</v>
      </c>
      <c r="O11">
        <v>0.99365994933473378</v>
      </c>
      <c r="P11">
        <v>138</v>
      </c>
      <c r="Q11">
        <v>5249.1891094403127</v>
      </c>
      <c r="R11">
        <v>5717.6301094403125</v>
      </c>
      <c r="S11">
        <v>6311.7617237956802</v>
      </c>
    </row>
    <row r="12" spans="1:19" ht="15" x14ac:dyDescent="0.25">
      <c r="A12" t="s">
        <v>61</v>
      </c>
      <c r="C12" t="s">
        <v>22</v>
      </c>
      <c r="D12" t="s">
        <v>62</v>
      </c>
      <c r="E12" t="s">
        <v>34</v>
      </c>
      <c r="F12" t="s">
        <v>26</v>
      </c>
      <c r="G12">
        <v>0</v>
      </c>
      <c r="H12">
        <v>0</v>
      </c>
      <c r="I12">
        <v>0</v>
      </c>
      <c r="J12">
        <v>0</v>
      </c>
      <c r="K12">
        <v>0</v>
      </c>
      <c r="L12">
        <v>0</v>
      </c>
      <c r="M12">
        <v>0</v>
      </c>
      <c r="N12">
        <v>0</v>
      </c>
      <c r="O12">
        <v>0</v>
      </c>
      <c r="P12">
        <v>0</v>
      </c>
      <c r="Q12">
        <v>0</v>
      </c>
      <c r="R12">
        <v>0</v>
      </c>
      <c r="S12">
        <v>0</v>
      </c>
    </row>
    <row r="13" spans="1:19" ht="15" x14ac:dyDescent="0.25">
      <c r="A13" t="s">
        <v>1572</v>
      </c>
      <c r="B13" t="s">
        <v>1470</v>
      </c>
      <c r="C13" t="s">
        <v>70</v>
      </c>
      <c r="D13" t="s">
        <v>23</v>
      </c>
      <c r="E13" t="s">
        <v>34</v>
      </c>
      <c r="F13" t="s">
        <v>35</v>
      </c>
      <c r="G13">
        <v>16.900649999999999</v>
      </c>
      <c r="H13">
        <v>0.03</v>
      </c>
      <c r="I13">
        <v>175</v>
      </c>
      <c r="J13">
        <v>288.75</v>
      </c>
      <c r="K13">
        <v>23.285339999999998</v>
      </c>
      <c r="L13">
        <v>9.3141359999999992E-2</v>
      </c>
      <c r="M13">
        <v>0</v>
      </c>
      <c r="N13">
        <v>0</v>
      </c>
      <c r="O13">
        <v>0</v>
      </c>
      <c r="P13">
        <v>0</v>
      </c>
      <c r="Q13">
        <v>540.46937000000003</v>
      </c>
      <c r="R13">
        <v>540.46937000000003</v>
      </c>
      <c r="S13">
        <v>856.97768248399996</v>
      </c>
    </row>
    <row r="14" spans="1:19" ht="15" x14ac:dyDescent="0.25">
      <c r="A14" t="s">
        <v>1573</v>
      </c>
      <c r="B14" t="s">
        <v>1471</v>
      </c>
      <c r="C14" t="s">
        <v>70</v>
      </c>
      <c r="D14" t="s">
        <v>23</v>
      </c>
      <c r="E14" t="s">
        <v>24</v>
      </c>
      <c r="F14" t="s">
        <v>35</v>
      </c>
      <c r="G14">
        <v>135.75400000000002</v>
      </c>
      <c r="H14">
        <v>9.3904999999999988E-2</v>
      </c>
      <c r="I14">
        <v>0</v>
      </c>
      <c r="J14">
        <v>0</v>
      </c>
      <c r="K14">
        <v>49.029600000000002</v>
      </c>
      <c r="L14">
        <v>0.19611840000000003</v>
      </c>
      <c r="M14">
        <v>0</v>
      </c>
      <c r="N14">
        <v>0.99992800259193781</v>
      </c>
      <c r="O14">
        <v>1</v>
      </c>
      <c r="P14">
        <v>171.42994129158512</v>
      </c>
      <c r="Q14">
        <v>1138.7308507500002</v>
      </c>
      <c r="R14">
        <v>1720.6497864642859</v>
      </c>
      <c r="S14">
        <v>2387.0895274242862</v>
      </c>
    </row>
    <row r="15" spans="1:19" ht="15" x14ac:dyDescent="0.25">
      <c r="A15" t="s">
        <v>81</v>
      </c>
      <c r="C15" t="s">
        <v>22</v>
      </c>
      <c r="D15" t="s">
        <v>23</v>
      </c>
      <c r="E15" t="s">
        <v>34</v>
      </c>
      <c r="F15" t="s">
        <v>26</v>
      </c>
      <c r="G15">
        <v>3.0273759999999998</v>
      </c>
      <c r="H15">
        <v>5.8989999999999997E-3</v>
      </c>
      <c r="I15">
        <v>0</v>
      </c>
      <c r="J15">
        <v>38.64</v>
      </c>
      <c r="K15">
        <v>5.63091936</v>
      </c>
      <c r="L15">
        <v>2.2523677440000001E-2</v>
      </c>
      <c r="M15">
        <v>0</v>
      </c>
      <c r="N15">
        <v>0.88823536670141268</v>
      </c>
      <c r="O15">
        <v>0.9999925210960614</v>
      </c>
      <c r="P15">
        <v>0</v>
      </c>
      <c r="Q15">
        <v>55.920120649999994</v>
      </c>
      <c r="R15">
        <v>55.920120649999994</v>
      </c>
      <c r="S15">
        <v>132.45895514273599</v>
      </c>
    </row>
    <row r="16" spans="1:19" ht="15" x14ac:dyDescent="0.25">
      <c r="A16" t="s">
        <v>1574</v>
      </c>
      <c r="B16" t="s">
        <v>672</v>
      </c>
      <c r="C16" t="s">
        <v>22</v>
      </c>
      <c r="D16" t="s">
        <v>116</v>
      </c>
      <c r="E16" t="s">
        <v>34</v>
      </c>
      <c r="F16" t="s">
        <v>35</v>
      </c>
      <c r="G16">
        <v>381.71419097235548</v>
      </c>
      <c r="H16">
        <v>0.48980417668269199</v>
      </c>
      <c r="I16">
        <v>511.02902433894201</v>
      </c>
      <c r="J16">
        <v>1861.2558713942296</v>
      </c>
      <c r="K16">
        <v>136.92584209499998</v>
      </c>
      <c r="L16">
        <v>0.54770336837999989</v>
      </c>
      <c r="M16">
        <v>0</v>
      </c>
      <c r="N16">
        <v>0.86588774805920499</v>
      </c>
      <c r="O16">
        <v>0.99998402911185846</v>
      </c>
      <c r="P16">
        <v>20</v>
      </c>
      <c r="Q16">
        <v>5283.7873727094911</v>
      </c>
      <c r="R16">
        <v>5351.6773727094915</v>
      </c>
      <c r="S16">
        <v>7212.8555739699877</v>
      </c>
    </row>
    <row r="17" spans="1:19" ht="15" x14ac:dyDescent="0.25">
      <c r="A17" t="s">
        <v>99</v>
      </c>
      <c r="C17" t="s">
        <v>70</v>
      </c>
      <c r="D17" t="s">
        <v>23</v>
      </c>
      <c r="E17" t="s">
        <v>34</v>
      </c>
      <c r="F17" t="s">
        <v>26</v>
      </c>
      <c r="G17">
        <v>1.107</v>
      </c>
      <c r="H17">
        <v>3.398E-3</v>
      </c>
      <c r="I17">
        <v>0</v>
      </c>
      <c r="J17">
        <v>0</v>
      </c>
      <c r="K17">
        <v>2.0590199999999999</v>
      </c>
      <c r="L17">
        <v>8.2360799999999998E-3</v>
      </c>
      <c r="M17">
        <v>0</v>
      </c>
      <c r="N17">
        <v>0</v>
      </c>
      <c r="O17">
        <v>0</v>
      </c>
      <c r="P17">
        <v>0</v>
      </c>
      <c r="Q17">
        <v>13.426663699999999</v>
      </c>
      <c r="R17">
        <v>13.426663699999999</v>
      </c>
      <c r="S17">
        <v>41.414098951999996</v>
      </c>
    </row>
    <row r="18" spans="1:19" ht="15" x14ac:dyDescent="0.25">
      <c r="A18" t="s">
        <v>100</v>
      </c>
      <c r="C18" t="s">
        <v>66</v>
      </c>
      <c r="D18" t="s">
        <v>101</v>
      </c>
      <c r="E18" t="s">
        <v>34</v>
      </c>
      <c r="F18" t="s">
        <v>26</v>
      </c>
      <c r="G18">
        <v>0.44766</v>
      </c>
      <c r="H18">
        <v>0</v>
      </c>
      <c r="I18">
        <v>0</v>
      </c>
      <c r="J18">
        <v>0</v>
      </c>
      <c r="K18">
        <v>0.83264760000000004</v>
      </c>
      <c r="L18">
        <v>3.3305904000000002E-3</v>
      </c>
      <c r="M18">
        <v>0</v>
      </c>
      <c r="N18">
        <v>0</v>
      </c>
      <c r="O18">
        <v>0</v>
      </c>
      <c r="P18">
        <v>0</v>
      </c>
      <c r="Q18">
        <v>3.2679179999999999</v>
      </c>
      <c r="R18">
        <v>3.2679179999999999</v>
      </c>
      <c r="S18">
        <v>14.58576376776</v>
      </c>
    </row>
    <row r="19" spans="1:19" ht="15" x14ac:dyDescent="0.25">
      <c r="A19" t="s">
        <v>1575</v>
      </c>
      <c r="B19" t="s">
        <v>1275</v>
      </c>
      <c r="C19" t="s">
        <v>22</v>
      </c>
      <c r="D19" t="s">
        <v>33</v>
      </c>
      <c r="E19" t="s">
        <v>24</v>
      </c>
      <c r="F19" t="s">
        <v>35</v>
      </c>
      <c r="G19">
        <v>488.75451795789496</v>
      </c>
      <c r="H19">
        <v>1.8330631578947376</v>
      </c>
      <c r="I19">
        <v>73.322526315789503</v>
      </c>
      <c r="J19">
        <v>82.121229473684238</v>
      </c>
      <c r="K19">
        <v>191.97552000000002</v>
      </c>
      <c r="L19">
        <v>0.76790208000000004</v>
      </c>
      <c r="M19">
        <v>0</v>
      </c>
      <c r="N19">
        <v>0.86588774805920499</v>
      </c>
      <c r="O19">
        <v>0.99998402911185846</v>
      </c>
      <c r="P19">
        <v>0</v>
      </c>
      <c r="Q19">
        <v>6581.8936293208453</v>
      </c>
      <c r="R19">
        <v>6581.8936293208453</v>
      </c>
      <c r="S19">
        <v>9191.3400824728451</v>
      </c>
    </row>
    <row r="20" spans="1:19" ht="15" x14ac:dyDescent="0.25">
      <c r="A20" t="s">
        <v>106</v>
      </c>
      <c r="B20" t="s">
        <v>1623</v>
      </c>
      <c r="C20" t="s">
        <v>22</v>
      </c>
      <c r="D20" t="s">
        <v>23</v>
      </c>
      <c r="E20" t="s">
        <v>24</v>
      </c>
      <c r="F20" t="s">
        <v>35</v>
      </c>
      <c r="G20">
        <v>71.825000000000003</v>
      </c>
      <c r="H20">
        <v>2.3644999999999999E-2</v>
      </c>
      <c r="I20">
        <v>0</v>
      </c>
      <c r="J20">
        <v>0</v>
      </c>
      <c r="K20">
        <v>20.553000000000001</v>
      </c>
      <c r="L20">
        <v>8.2212000000000007E-2</v>
      </c>
      <c r="M20">
        <v>0</v>
      </c>
      <c r="N20">
        <v>0.85105374269477596</v>
      </c>
      <c r="O20">
        <v>0.99997521274579348</v>
      </c>
      <c r="P20">
        <v>0</v>
      </c>
      <c r="Q20">
        <v>561.51963174999992</v>
      </c>
      <c r="R20">
        <v>561.51963174999992</v>
      </c>
      <c r="S20">
        <v>840.88833954999996</v>
      </c>
    </row>
    <row r="21" spans="1:19" ht="15" x14ac:dyDescent="0.25">
      <c r="A21" t="s">
        <v>1576</v>
      </c>
      <c r="B21" t="s">
        <v>1472</v>
      </c>
      <c r="C21" t="s">
        <v>22</v>
      </c>
      <c r="D21" t="s">
        <v>23</v>
      </c>
      <c r="E21" t="s">
        <v>24</v>
      </c>
      <c r="F21" t="s">
        <v>35</v>
      </c>
      <c r="G21">
        <v>71.791849999999997</v>
      </c>
      <c r="H21">
        <v>0.12156</v>
      </c>
      <c r="I21">
        <v>0</v>
      </c>
      <c r="J21">
        <v>967.68</v>
      </c>
      <c r="K21">
        <v>20.543514000000002</v>
      </c>
      <c r="L21">
        <v>8.2174056000000009E-2</v>
      </c>
      <c r="M21">
        <v>0</v>
      </c>
      <c r="N21">
        <v>0.85138243651389534</v>
      </c>
      <c r="O21">
        <v>0.99997544173852815</v>
      </c>
      <c r="P21">
        <v>2.7397260273972603E-3</v>
      </c>
      <c r="Q21">
        <v>1329.8861869999996</v>
      </c>
      <c r="R21">
        <v>1329.8954869999998</v>
      </c>
      <c r="S21">
        <v>1609.1352553964</v>
      </c>
    </row>
    <row r="22" spans="1:19" ht="15" x14ac:dyDescent="0.25">
      <c r="A22" t="s">
        <v>1577</v>
      </c>
      <c r="B22" t="s">
        <v>622</v>
      </c>
      <c r="C22" t="s">
        <v>22</v>
      </c>
      <c r="D22" t="s">
        <v>116</v>
      </c>
      <c r="E22" t="s">
        <v>34</v>
      </c>
      <c r="F22" t="s">
        <v>35</v>
      </c>
      <c r="G22">
        <v>96.18055221507359</v>
      </c>
      <c r="H22">
        <v>5.0012543957800547E-2</v>
      </c>
      <c r="I22">
        <v>625.1567994725068</v>
      </c>
      <c r="J22">
        <v>2850.7150055946313</v>
      </c>
      <c r="K22">
        <v>35.707186757812508</v>
      </c>
      <c r="L22">
        <v>0.14282874703125004</v>
      </c>
      <c r="M22">
        <v>0</v>
      </c>
      <c r="N22">
        <v>0</v>
      </c>
      <c r="O22">
        <v>0</v>
      </c>
      <c r="P22">
        <v>0</v>
      </c>
      <c r="Q22">
        <v>3257.576481628199</v>
      </c>
      <c r="R22">
        <v>3257.576481628199</v>
      </c>
      <c r="S22">
        <v>3742.9299883524409</v>
      </c>
    </row>
    <row r="23" spans="1:19" ht="15" x14ac:dyDescent="0.25">
      <c r="A23" t="s">
        <v>1578</v>
      </c>
      <c r="B23" t="s">
        <v>552</v>
      </c>
      <c r="C23" t="s">
        <v>70</v>
      </c>
      <c r="D23" t="s">
        <v>23</v>
      </c>
      <c r="E23" t="s">
        <v>34</v>
      </c>
      <c r="F23" t="s">
        <v>35</v>
      </c>
      <c r="G23">
        <v>107.70137777777778</v>
      </c>
      <c r="H23">
        <v>0.37344444444444441</v>
      </c>
      <c r="I23">
        <v>438.79722222222216</v>
      </c>
      <c r="J23">
        <v>491.45288888888882</v>
      </c>
      <c r="K23">
        <v>74.355765351724145</v>
      </c>
      <c r="L23">
        <v>0.29742306140689656</v>
      </c>
      <c r="M23">
        <v>62.514599999999994</v>
      </c>
      <c r="N23">
        <v>0.53377480343733852</v>
      </c>
      <c r="O23">
        <v>0.9960620166668992</v>
      </c>
      <c r="P23">
        <v>8.4024999999999999</v>
      </c>
      <c r="Q23">
        <v>2609.8525747333329</v>
      </c>
      <c r="R23">
        <v>2638.3748609833328</v>
      </c>
      <c r="S23">
        <v>3649.0630371031784</v>
      </c>
    </row>
    <row r="24" spans="1:19" ht="15" x14ac:dyDescent="0.25">
      <c r="A24" t="s">
        <v>986</v>
      </c>
      <c r="C24" t="s">
        <v>139</v>
      </c>
      <c r="D24" t="s">
        <v>23</v>
      </c>
      <c r="E24" t="s">
        <v>34</v>
      </c>
      <c r="F24" t="s">
        <v>26</v>
      </c>
      <c r="G24">
        <v>0</v>
      </c>
      <c r="H24">
        <v>0</v>
      </c>
      <c r="I24">
        <v>0</v>
      </c>
      <c r="J24">
        <v>0</v>
      </c>
      <c r="K24">
        <v>0</v>
      </c>
      <c r="L24">
        <v>0</v>
      </c>
      <c r="M24">
        <v>0</v>
      </c>
      <c r="N24">
        <v>0</v>
      </c>
      <c r="O24">
        <v>0</v>
      </c>
      <c r="P24">
        <v>0</v>
      </c>
      <c r="Q24">
        <v>0</v>
      </c>
      <c r="R24">
        <v>0</v>
      </c>
      <c r="S24">
        <v>0</v>
      </c>
    </row>
    <row r="25" spans="1:19" ht="15" x14ac:dyDescent="0.25">
      <c r="A25" t="s">
        <v>987</v>
      </c>
      <c r="C25" t="s">
        <v>22</v>
      </c>
      <c r="D25" t="s">
        <v>116</v>
      </c>
      <c r="E25" t="s">
        <v>34</v>
      </c>
      <c r="F25" t="s">
        <v>26</v>
      </c>
      <c r="G25">
        <v>0</v>
      </c>
      <c r="H25">
        <v>0</v>
      </c>
      <c r="I25">
        <v>0</v>
      </c>
      <c r="J25">
        <v>0</v>
      </c>
      <c r="K25">
        <v>0</v>
      </c>
      <c r="L25">
        <v>0</v>
      </c>
      <c r="M25">
        <v>0</v>
      </c>
      <c r="N25">
        <v>0</v>
      </c>
      <c r="O25">
        <v>0</v>
      </c>
      <c r="P25">
        <v>0</v>
      </c>
      <c r="Q25">
        <v>0</v>
      </c>
      <c r="R25">
        <v>0</v>
      </c>
      <c r="S25">
        <v>0</v>
      </c>
    </row>
    <row r="26" spans="1:19" ht="15" x14ac:dyDescent="0.25">
      <c r="A26" t="s">
        <v>1579</v>
      </c>
      <c r="B26" t="s">
        <v>594</v>
      </c>
      <c r="C26" t="s">
        <v>22</v>
      </c>
      <c r="D26" t="s">
        <v>33</v>
      </c>
      <c r="E26" t="s">
        <v>34</v>
      </c>
      <c r="F26" t="s">
        <v>35</v>
      </c>
      <c r="G26">
        <v>245.26275068842114</v>
      </c>
      <c r="H26">
        <v>0.12462538144736848</v>
      </c>
      <c r="I26">
        <v>598.20183094736865</v>
      </c>
      <c r="J26">
        <v>91.225779219473722</v>
      </c>
      <c r="K26">
        <v>100.34954999999999</v>
      </c>
      <c r="L26">
        <v>0.40139819999999998</v>
      </c>
      <c r="M26">
        <v>12.8186106631579</v>
      </c>
      <c r="N26">
        <v>4.3698793646333119E-2</v>
      </c>
      <c r="O26">
        <v>0.61803605752176827</v>
      </c>
      <c r="P26">
        <v>0</v>
      </c>
      <c r="Q26">
        <v>2775.5493604964481</v>
      </c>
      <c r="R26">
        <v>2775.5493604964481</v>
      </c>
      <c r="S26">
        <v>4139.5606538264483</v>
      </c>
    </row>
    <row r="27" spans="1:19" ht="15" x14ac:dyDescent="0.25">
      <c r="A27" t="s">
        <v>990</v>
      </c>
      <c r="C27" t="s">
        <v>139</v>
      </c>
      <c r="D27" t="s">
        <v>23</v>
      </c>
      <c r="E27" t="s">
        <v>34</v>
      </c>
      <c r="F27" t="s">
        <v>26</v>
      </c>
      <c r="G27">
        <v>0</v>
      </c>
      <c r="H27">
        <v>0</v>
      </c>
      <c r="I27">
        <v>0</v>
      </c>
      <c r="J27">
        <v>0</v>
      </c>
      <c r="K27">
        <v>0</v>
      </c>
      <c r="L27">
        <v>0</v>
      </c>
      <c r="M27">
        <v>0</v>
      </c>
      <c r="N27">
        <v>0</v>
      </c>
      <c r="O27">
        <v>0</v>
      </c>
      <c r="P27">
        <v>0</v>
      </c>
      <c r="Q27">
        <v>0</v>
      </c>
      <c r="R27">
        <v>0</v>
      </c>
      <c r="S27">
        <v>0</v>
      </c>
    </row>
    <row r="28" spans="1:19" ht="15" x14ac:dyDescent="0.25">
      <c r="A28" t="s">
        <v>1580</v>
      </c>
      <c r="B28" t="s">
        <v>1473</v>
      </c>
      <c r="C28" t="s">
        <v>46</v>
      </c>
      <c r="D28" t="s">
        <v>165</v>
      </c>
      <c r="E28" t="s">
        <v>34</v>
      </c>
      <c r="F28" t="s">
        <v>35</v>
      </c>
      <c r="G28">
        <v>0</v>
      </c>
      <c r="H28">
        <v>0</v>
      </c>
      <c r="I28">
        <v>0</v>
      </c>
      <c r="J28">
        <v>0</v>
      </c>
      <c r="K28">
        <v>0</v>
      </c>
      <c r="L28">
        <v>0</v>
      </c>
      <c r="M28">
        <v>0</v>
      </c>
      <c r="N28">
        <v>0.99856103630251514</v>
      </c>
      <c r="O28">
        <v>0.99999999999982103</v>
      </c>
      <c r="P28">
        <v>0</v>
      </c>
      <c r="Q28">
        <v>0</v>
      </c>
      <c r="R28">
        <v>0</v>
      </c>
      <c r="S28">
        <v>0</v>
      </c>
    </row>
    <row r="29" spans="1:19" ht="15" x14ac:dyDescent="0.25">
      <c r="A29" t="s">
        <v>182</v>
      </c>
      <c r="C29" t="s">
        <v>22</v>
      </c>
      <c r="D29" t="s">
        <v>23</v>
      </c>
      <c r="E29" t="s">
        <v>34</v>
      </c>
      <c r="F29" t="s">
        <v>26</v>
      </c>
      <c r="G29">
        <v>4.6171350000000002</v>
      </c>
      <c r="H29">
        <v>3.7490000000000002E-3</v>
      </c>
      <c r="I29">
        <v>0</v>
      </c>
      <c r="J29">
        <v>13.37</v>
      </c>
      <c r="K29">
        <v>8.587871100000001</v>
      </c>
      <c r="L29">
        <v>3.4351484400000007E-2</v>
      </c>
      <c r="M29">
        <v>0</v>
      </c>
      <c r="N29">
        <v>0.97062637875720592</v>
      </c>
      <c r="O29">
        <v>0.9999999678562137</v>
      </c>
      <c r="P29">
        <v>0</v>
      </c>
      <c r="Q29">
        <v>48.094111850000004</v>
      </c>
      <c r="R29">
        <v>48.094111850000004</v>
      </c>
      <c r="S29">
        <v>164.82560856386002</v>
      </c>
    </row>
    <row r="30" spans="1:19" ht="15" x14ac:dyDescent="0.25">
      <c r="A30" t="s">
        <v>983</v>
      </c>
      <c r="C30" t="s">
        <v>139</v>
      </c>
      <c r="D30" t="s">
        <v>131</v>
      </c>
      <c r="F30" t="s">
        <v>26</v>
      </c>
      <c r="G30">
        <v>0</v>
      </c>
      <c r="H30">
        <v>0</v>
      </c>
      <c r="I30">
        <v>0</v>
      </c>
      <c r="J30">
        <v>0</v>
      </c>
      <c r="K30">
        <v>60</v>
      </c>
      <c r="L30">
        <v>0.24</v>
      </c>
      <c r="M30">
        <v>0</v>
      </c>
      <c r="N30">
        <v>0</v>
      </c>
      <c r="O30">
        <v>0</v>
      </c>
      <c r="P30">
        <v>0</v>
      </c>
      <c r="Q30">
        <v>0</v>
      </c>
      <c r="R30">
        <v>0</v>
      </c>
      <c r="S30">
        <v>815.55599999999993</v>
      </c>
    </row>
    <row r="31" spans="1:19" ht="15" x14ac:dyDescent="0.25">
      <c r="A31" t="s">
        <v>184</v>
      </c>
      <c r="C31" t="s">
        <v>22</v>
      </c>
      <c r="D31" t="s">
        <v>101</v>
      </c>
      <c r="E31" t="s">
        <v>34</v>
      </c>
      <c r="F31" t="s">
        <v>26</v>
      </c>
      <c r="G31">
        <v>1.4696100000000001</v>
      </c>
      <c r="H31">
        <v>1.9599999999999999E-4</v>
      </c>
      <c r="I31">
        <v>0</v>
      </c>
      <c r="J31">
        <v>20.125</v>
      </c>
      <c r="K31">
        <v>2.7334746000000001</v>
      </c>
      <c r="L31">
        <v>1.0933898400000001E-2</v>
      </c>
      <c r="M31">
        <v>0</v>
      </c>
      <c r="N31">
        <v>0.98473312324949158</v>
      </c>
      <c r="O31">
        <v>0.99999999769435977</v>
      </c>
      <c r="P31">
        <v>0</v>
      </c>
      <c r="Q31">
        <v>23.817877900000003</v>
      </c>
      <c r="R31">
        <v>23.817877900000003</v>
      </c>
      <c r="S31">
        <v>60.972904747960008</v>
      </c>
    </row>
    <row r="32" spans="1:19" ht="15" x14ac:dyDescent="0.25">
      <c r="A32" t="s">
        <v>185</v>
      </c>
      <c r="C32" t="s">
        <v>186</v>
      </c>
      <c r="D32" t="s">
        <v>131</v>
      </c>
      <c r="E32" t="s">
        <v>34</v>
      </c>
      <c r="F32" t="s">
        <v>26</v>
      </c>
      <c r="G32">
        <v>0</v>
      </c>
      <c r="H32">
        <v>0</v>
      </c>
      <c r="I32">
        <v>0</v>
      </c>
      <c r="J32">
        <v>0</v>
      </c>
      <c r="K32">
        <v>60</v>
      </c>
      <c r="L32">
        <v>0.24</v>
      </c>
      <c r="M32">
        <v>0</v>
      </c>
      <c r="N32">
        <v>0</v>
      </c>
      <c r="O32">
        <v>0</v>
      </c>
      <c r="P32">
        <v>0</v>
      </c>
      <c r="Q32">
        <v>0</v>
      </c>
      <c r="R32">
        <v>0</v>
      </c>
      <c r="S32">
        <v>815.55599999999993</v>
      </c>
    </row>
    <row r="33" spans="1:19" ht="15" x14ac:dyDescent="0.25">
      <c r="A33" t="s">
        <v>2016</v>
      </c>
      <c r="C33" t="s">
        <v>22</v>
      </c>
      <c r="D33" t="s">
        <v>101</v>
      </c>
      <c r="E33" t="s">
        <v>34</v>
      </c>
      <c r="F33" t="s">
        <v>26</v>
      </c>
      <c r="G33">
        <v>0</v>
      </c>
      <c r="H33">
        <v>0</v>
      </c>
      <c r="I33">
        <v>0</v>
      </c>
      <c r="J33">
        <v>0</v>
      </c>
      <c r="K33">
        <v>0</v>
      </c>
      <c r="L33">
        <v>0</v>
      </c>
      <c r="M33">
        <v>0</v>
      </c>
      <c r="N33">
        <v>0</v>
      </c>
      <c r="O33">
        <v>0</v>
      </c>
      <c r="P33">
        <v>0</v>
      </c>
      <c r="Q33">
        <v>0</v>
      </c>
      <c r="R33">
        <v>0</v>
      </c>
      <c r="S33">
        <v>0</v>
      </c>
    </row>
    <row r="34" spans="1:19" ht="15" x14ac:dyDescent="0.25">
      <c r="A34" t="s">
        <v>189</v>
      </c>
      <c r="B34" t="s">
        <v>1621</v>
      </c>
      <c r="C34" t="s">
        <v>22</v>
      </c>
      <c r="D34" t="s">
        <v>101</v>
      </c>
      <c r="E34" t="s">
        <v>34</v>
      </c>
      <c r="F34" t="s">
        <v>35</v>
      </c>
      <c r="G34">
        <v>0</v>
      </c>
      <c r="H34">
        <v>0</v>
      </c>
      <c r="I34">
        <v>0</v>
      </c>
      <c r="J34">
        <v>0</v>
      </c>
      <c r="K34">
        <v>0</v>
      </c>
      <c r="L34">
        <v>0</v>
      </c>
      <c r="M34">
        <v>0</v>
      </c>
      <c r="N34">
        <v>0</v>
      </c>
      <c r="O34">
        <v>0</v>
      </c>
      <c r="P34">
        <v>0</v>
      </c>
      <c r="Q34">
        <v>0</v>
      </c>
      <c r="R34">
        <v>0</v>
      </c>
      <c r="S34">
        <v>0</v>
      </c>
    </row>
    <row r="35" spans="1:19" ht="15" x14ac:dyDescent="0.25">
      <c r="A35" t="s">
        <v>2017</v>
      </c>
      <c r="C35" t="s">
        <v>186</v>
      </c>
      <c r="D35" t="s">
        <v>131</v>
      </c>
      <c r="F35" t="s">
        <v>26</v>
      </c>
      <c r="G35">
        <v>0</v>
      </c>
      <c r="H35">
        <v>0</v>
      </c>
      <c r="I35">
        <v>0</v>
      </c>
      <c r="J35">
        <v>0</v>
      </c>
      <c r="K35">
        <v>60</v>
      </c>
      <c r="L35">
        <v>0.24</v>
      </c>
      <c r="M35">
        <v>0</v>
      </c>
      <c r="N35">
        <v>0</v>
      </c>
      <c r="O35">
        <v>0</v>
      </c>
      <c r="P35">
        <v>0</v>
      </c>
      <c r="Q35">
        <v>0</v>
      </c>
      <c r="R35">
        <v>0</v>
      </c>
      <c r="S35">
        <v>815.55599999999993</v>
      </c>
    </row>
    <row r="36" spans="1:19" ht="15" x14ac:dyDescent="0.25">
      <c r="A36" t="s">
        <v>199</v>
      </c>
      <c r="C36" t="s">
        <v>22</v>
      </c>
      <c r="D36" t="s">
        <v>101</v>
      </c>
      <c r="E36" t="s">
        <v>34</v>
      </c>
      <c r="F36" t="s">
        <v>26</v>
      </c>
      <c r="G36">
        <v>5.8785749999999997</v>
      </c>
      <c r="H36">
        <v>3.398E-3</v>
      </c>
      <c r="I36">
        <v>0</v>
      </c>
      <c r="J36">
        <v>0</v>
      </c>
      <c r="K36">
        <v>10.9341495</v>
      </c>
      <c r="L36">
        <v>4.3736598000000002E-2</v>
      </c>
      <c r="M36">
        <v>0</v>
      </c>
      <c r="N36">
        <v>0.7922801975666286</v>
      </c>
      <c r="O36">
        <v>0.99989827176034773</v>
      </c>
      <c r="P36">
        <v>0</v>
      </c>
      <c r="Q36">
        <v>48.259161199999994</v>
      </c>
      <c r="R36">
        <v>48.259161199999994</v>
      </c>
      <c r="S36">
        <v>196.88268169369999</v>
      </c>
    </row>
    <row r="37" spans="1:19" ht="15" x14ac:dyDescent="0.25">
      <c r="A37" t="s">
        <v>201</v>
      </c>
      <c r="C37" t="s">
        <v>22</v>
      </c>
      <c r="D37" t="s">
        <v>131</v>
      </c>
      <c r="E37" t="s">
        <v>34</v>
      </c>
      <c r="F37" t="s">
        <v>26</v>
      </c>
      <c r="G37">
        <v>0</v>
      </c>
      <c r="H37">
        <v>0.14669699999999999</v>
      </c>
      <c r="I37">
        <v>0</v>
      </c>
      <c r="J37">
        <v>0</v>
      </c>
      <c r="K37">
        <v>60</v>
      </c>
      <c r="L37">
        <v>0.24</v>
      </c>
      <c r="M37">
        <v>0</v>
      </c>
      <c r="N37">
        <v>0.58844633041880767</v>
      </c>
      <c r="O37">
        <v>0.99783618931767126</v>
      </c>
      <c r="P37">
        <v>0</v>
      </c>
      <c r="Q37">
        <v>230.77638554999999</v>
      </c>
      <c r="R37">
        <v>230.77638554999999</v>
      </c>
      <c r="S37">
        <v>1046.33238555</v>
      </c>
    </row>
    <row r="38" spans="1:19" ht="15" x14ac:dyDescent="0.25">
      <c r="A38" t="s">
        <v>202</v>
      </c>
      <c r="C38" t="s">
        <v>22</v>
      </c>
      <c r="D38" t="s">
        <v>62</v>
      </c>
      <c r="E38" t="s">
        <v>34</v>
      </c>
      <c r="F38" t="s">
        <v>26</v>
      </c>
      <c r="G38">
        <v>38.701124999999998</v>
      </c>
      <c r="H38">
        <v>2.9451999999999999E-2</v>
      </c>
      <c r="I38">
        <v>0</v>
      </c>
      <c r="J38">
        <v>0</v>
      </c>
      <c r="K38">
        <v>68.500991249999984</v>
      </c>
      <c r="L38">
        <v>0.27400396499999996</v>
      </c>
      <c r="M38">
        <v>0</v>
      </c>
      <c r="N38">
        <v>0.95262522670159344</v>
      </c>
      <c r="O38">
        <v>0.99999977761062897</v>
      </c>
      <c r="P38">
        <v>0</v>
      </c>
      <c r="Q38">
        <v>328.85062629999993</v>
      </c>
      <c r="R38">
        <v>328.85062629999993</v>
      </c>
      <c r="S38">
        <v>1259.9571999647499</v>
      </c>
    </row>
    <row r="39" spans="1:19" ht="15" x14ac:dyDescent="0.25">
      <c r="A39" t="s">
        <v>981</v>
      </c>
      <c r="B39" t="s">
        <v>1622</v>
      </c>
      <c r="C39" t="s">
        <v>22</v>
      </c>
      <c r="D39" t="s">
        <v>101</v>
      </c>
      <c r="E39" t="s">
        <v>34</v>
      </c>
      <c r="F39" t="s">
        <v>35</v>
      </c>
      <c r="G39">
        <v>0</v>
      </c>
      <c r="H39">
        <v>0</v>
      </c>
      <c r="I39">
        <v>0</v>
      </c>
      <c r="J39">
        <v>0</v>
      </c>
      <c r="K39">
        <v>0</v>
      </c>
      <c r="L39">
        <v>0</v>
      </c>
      <c r="M39">
        <v>0</v>
      </c>
      <c r="N39">
        <v>0</v>
      </c>
      <c r="O39">
        <v>0</v>
      </c>
      <c r="P39">
        <v>0</v>
      </c>
      <c r="Q39">
        <v>0</v>
      </c>
      <c r="R39">
        <v>0</v>
      </c>
      <c r="S39">
        <v>0</v>
      </c>
    </row>
    <row r="40" spans="1:19" ht="15" x14ac:dyDescent="0.25">
      <c r="A40" t="s">
        <v>980</v>
      </c>
      <c r="C40" t="s">
        <v>186</v>
      </c>
      <c r="D40" t="s">
        <v>131</v>
      </c>
      <c r="E40" t="s">
        <v>34</v>
      </c>
      <c r="F40" t="s">
        <v>26</v>
      </c>
      <c r="G40">
        <v>108.33333333333334</v>
      </c>
      <c r="H40">
        <v>0.41666666666666663</v>
      </c>
      <c r="I40">
        <v>0</v>
      </c>
      <c r="J40">
        <v>2240</v>
      </c>
      <c r="K40">
        <v>60</v>
      </c>
      <c r="L40">
        <v>0.24</v>
      </c>
      <c r="M40">
        <v>0</v>
      </c>
      <c r="N40">
        <v>0</v>
      </c>
      <c r="O40">
        <v>0</v>
      </c>
      <c r="P40">
        <v>0</v>
      </c>
      <c r="Q40">
        <v>2868.9364999999998</v>
      </c>
      <c r="R40">
        <v>2868.9364999999998</v>
      </c>
      <c r="S40">
        <v>3684.4925000000003</v>
      </c>
    </row>
    <row r="41" spans="1:19" ht="15" x14ac:dyDescent="0.25">
      <c r="A41" t="s">
        <v>1581</v>
      </c>
      <c r="B41" t="s">
        <v>1276</v>
      </c>
      <c r="C41" t="s">
        <v>22</v>
      </c>
      <c r="D41" t="s">
        <v>33</v>
      </c>
      <c r="E41" t="s">
        <v>24</v>
      </c>
      <c r="F41" t="s">
        <v>35</v>
      </c>
      <c r="G41">
        <v>86.381536802884568</v>
      </c>
      <c r="H41">
        <v>0.17426466346153835</v>
      </c>
      <c r="I41">
        <v>0</v>
      </c>
      <c r="J41">
        <v>75.309230769230737</v>
      </c>
      <c r="K41">
        <v>37.08975725153374</v>
      </c>
      <c r="L41">
        <v>0.14835902900613496</v>
      </c>
      <c r="M41">
        <v>4264.7798342378455</v>
      </c>
      <c r="N41">
        <v>0.99856103630251514</v>
      </c>
      <c r="O41">
        <v>0.99999999999982103</v>
      </c>
      <c r="P41">
        <v>1222.4669603524223</v>
      </c>
      <c r="Q41">
        <v>32085.45135638339</v>
      </c>
      <c r="R41">
        <v>36235.115453299688</v>
      </c>
      <c r="S41">
        <v>36739.261687716884</v>
      </c>
    </row>
    <row r="42" spans="1:19" ht="15" x14ac:dyDescent="0.25">
      <c r="A42" t="s">
        <v>2018</v>
      </c>
      <c r="C42" t="s">
        <v>22</v>
      </c>
      <c r="D42" t="s">
        <v>23</v>
      </c>
      <c r="E42" t="s">
        <v>34</v>
      </c>
      <c r="F42" t="s">
        <v>26</v>
      </c>
      <c r="G42">
        <v>5.5416149999999993</v>
      </c>
      <c r="H42">
        <v>7.8230000000000001E-3</v>
      </c>
      <c r="I42">
        <v>0</v>
      </c>
      <c r="J42">
        <v>0</v>
      </c>
      <c r="K42">
        <v>10.307403899999999</v>
      </c>
      <c r="L42">
        <v>4.1229615599999998E-2</v>
      </c>
      <c r="M42">
        <v>0</v>
      </c>
      <c r="N42">
        <v>0.94199902697231841</v>
      </c>
      <c r="O42">
        <v>0.99999949367232721</v>
      </c>
      <c r="P42">
        <v>0</v>
      </c>
      <c r="Q42">
        <v>52.76054194999999</v>
      </c>
      <c r="R42">
        <v>52.76054194999999</v>
      </c>
      <c r="S42">
        <v>192.86496020113998</v>
      </c>
    </row>
    <row r="43" spans="1:19" ht="45" x14ac:dyDescent="0.25">
      <c r="A43" s="6" t="s">
        <v>220</v>
      </c>
      <c r="C43" t="s">
        <v>66</v>
      </c>
      <c r="D43" t="s">
        <v>23</v>
      </c>
      <c r="E43" t="s">
        <v>34</v>
      </c>
      <c r="F43" t="s">
        <v>35</v>
      </c>
      <c r="G43">
        <v>2.6330399999999998</v>
      </c>
      <c r="H43">
        <v>2.5479999999999999E-3</v>
      </c>
      <c r="I43">
        <v>0</v>
      </c>
      <c r="J43">
        <v>0</v>
      </c>
      <c r="K43">
        <v>3.6277439999999999</v>
      </c>
      <c r="L43">
        <v>1.4510976E-2</v>
      </c>
      <c r="M43">
        <v>0</v>
      </c>
      <c r="N43">
        <v>0.95313378707750473</v>
      </c>
      <c r="O43">
        <v>0.99999978714190174</v>
      </c>
      <c r="P43">
        <v>0</v>
      </c>
      <c r="Q43">
        <v>23.229578199999995</v>
      </c>
      <c r="R43">
        <v>23.229578199999995</v>
      </c>
      <c r="S43">
        <v>72.540051294400001</v>
      </c>
    </row>
    <row r="44" spans="1:19" ht="45" x14ac:dyDescent="0.25">
      <c r="A44" s="6" t="s">
        <v>222</v>
      </c>
      <c r="C44" t="s">
        <v>66</v>
      </c>
      <c r="D44" t="s">
        <v>23</v>
      </c>
      <c r="E44" t="s">
        <v>34</v>
      </c>
      <c r="F44" t="s">
        <v>35</v>
      </c>
      <c r="G44">
        <v>2.6324999999999998</v>
      </c>
      <c r="H44">
        <v>0</v>
      </c>
      <c r="I44">
        <v>0</v>
      </c>
      <c r="J44">
        <v>0</v>
      </c>
      <c r="K44">
        <v>4.8964499999999997</v>
      </c>
      <c r="L44">
        <v>1.95858E-2</v>
      </c>
      <c r="M44">
        <v>0</v>
      </c>
      <c r="N44">
        <v>0.95313378707750473</v>
      </c>
      <c r="O44">
        <v>0.99999978714190174</v>
      </c>
      <c r="P44">
        <v>0</v>
      </c>
      <c r="Q44">
        <v>19.21725</v>
      </c>
      <c r="R44">
        <v>19.21725</v>
      </c>
      <c r="S44">
        <v>85.772736269999996</v>
      </c>
    </row>
    <row r="45" spans="1:19" ht="15" x14ac:dyDescent="0.25">
      <c r="A45" t="s">
        <v>1582</v>
      </c>
      <c r="B45" t="s">
        <v>1463</v>
      </c>
      <c r="C45" t="s">
        <v>22</v>
      </c>
      <c r="D45" t="s">
        <v>101</v>
      </c>
      <c r="E45" t="s">
        <v>34</v>
      </c>
      <c r="F45" t="s">
        <v>35</v>
      </c>
      <c r="G45">
        <v>56.390749</v>
      </c>
      <c r="H45">
        <v>0.43896000000000002</v>
      </c>
      <c r="I45">
        <v>103.5</v>
      </c>
      <c r="J45">
        <v>115.92</v>
      </c>
      <c r="K45">
        <v>101.83183799999999</v>
      </c>
      <c r="L45">
        <v>0.40732735199999998</v>
      </c>
      <c r="M45">
        <v>0</v>
      </c>
      <c r="N45">
        <v>0</v>
      </c>
      <c r="O45">
        <v>0</v>
      </c>
      <c r="P45">
        <v>0</v>
      </c>
      <c r="Q45">
        <v>1286.1334836999997</v>
      </c>
      <c r="R45">
        <v>1286.1334836999997</v>
      </c>
      <c r="S45">
        <v>2670.2929248987998</v>
      </c>
    </row>
    <row r="46" spans="1:19" ht="45" x14ac:dyDescent="0.25">
      <c r="A46" s="6" t="s">
        <v>2019</v>
      </c>
      <c r="C46" t="s">
        <v>66</v>
      </c>
      <c r="D46" t="s">
        <v>23</v>
      </c>
      <c r="E46" t="s">
        <v>34</v>
      </c>
      <c r="F46" t="s">
        <v>26</v>
      </c>
      <c r="G46">
        <v>1.6199999999999999</v>
      </c>
      <c r="H46">
        <v>1.4E-3</v>
      </c>
      <c r="I46">
        <v>0</v>
      </c>
      <c r="J46">
        <v>0</v>
      </c>
      <c r="K46">
        <v>3.0131999999999999</v>
      </c>
      <c r="L46">
        <v>1.2052799999999999E-2</v>
      </c>
      <c r="M46">
        <v>0</v>
      </c>
      <c r="N46">
        <v>0</v>
      </c>
      <c r="O46">
        <v>0</v>
      </c>
      <c r="P46">
        <v>0</v>
      </c>
      <c r="Q46">
        <v>14.028409999999999</v>
      </c>
      <c r="R46">
        <v>14.028409999999999</v>
      </c>
      <c r="S46">
        <v>54.985632319999993</v>
      </c>
    </row>
    <row r="47" spans="1:19" ht="45" x14ac:dyDescent="0.25">
      <c r="A47" s="6" t="s">
        <v>232</v>
      </c>
      <c r="C47" t="s">
        <v>66</v>
      </c>
      <c r="D47" t="s">
        <v>23</v>
      </c>
      <c r="E47" t="s">
        <v>34</v>
      </c>
      <c r="F47" t="s">
        <v>35</v>
      </c>
      <c r="G47">
        <v>0</v>
      </c>
      <c r="H47">
        <v>0</v>
      </c>
      <c r="I47">
        <v>0</v>
      </c>
      <c r="J47">
        <v>0</v>
      </c>
      <c r="K47">
        <v>0</v>
      </c>
      <c r="L47">
        <v>0</v>
      </c>
      <c r="M47">
        <v>0</v>
      </c>
      <c r="N47">
        <v>0.95313378707750473</v>
      </c>
      <c r="O47">
        <v>0.99999978714190174</v>
      </c>
      <c r="P47">
        <v>0</v>
      </c>
      <c r="Q47">
        <v>0</v>
      </c>
      <c r="R47">
        <v>0</v>
      </c>
      <c r="S47">
        <v>0</v>
      </c>
    </row>
    <row r="48" spans="1:19" ht="15" x14ac:dyDescent="0.25">
      <c r="A48" t="s">
        <v>1583</v>
      </c>
      <c r="B48" t="s">
        <v>1474</v>
      </c>
      <c r="C48" t="s">
        <v>22</v>
      </c>
      <c r="D48" t="s">
        <v>33</v>
      </c>
      <c r="E48" t="s">
        <v>34</v>
      </c>
      <c r="F48" t="s">
        <v>35</v>
      </c>
      <c r="G48">
        <v>85.347174604326881</v>
      </c>
      <c r="H48">
        <v>0.1553252884615384</v>
      </c>
      <c r="I48">
        <v>784.47115384615336</v>
      </c>
      <c r="J48">
        <v>878.60769230769176</v>
      </c>
      <c r="K48">
        <v>35.490672000000004</v>
      </c>
      <c r="L48">
        <v>0.141962688</v>
      </c>
      <c r="M48">
        <v>0</v>
      </c>
      <c r="N48">
        <v>0</v>
      </c>
      <c r="O48">
        <v>0</v>
      </c>
      <c r="P48">
        <v>1168</v>
      </c>
      <c r="Q48">
        <v>2261.4774533087011</v>
      </c>
      <c r="R48">
        <v>6226.253453308701</v>
      </c>
      <c r="S48">
        <v>6708.6639615359009</v>
      </c>
    </row>
    <row r="49" spans="1:19" ht="15" x14ac:dyDescent="0.25">
      <c r="A49" t="s">
        <v>963</v>
      </c>
      <c r="C49" t="s">
        <v>22</v>
      </c>
      <c r="D49" t="s">
        <v>101</v>
      </c>
      <c r="E49" t="s">
        <v>24</v>
      </c>
      <c r="F49" t="s">
        <v>35</v>
      </c>
      <c r="G49">
        <v>41.2</v>
      </c>
      <c r="H49">
        <v>0.10800000000000001</v>
      </c>
      <c r="I49">
        <v>20</v>
      </c>
      <c r="J49">
        <v>22.4</v>
      </c>
      <c r="K49">
        <v>372</v>
      </c>
      <c r="L49">
        <v>1.488</v>
      </c>
      <c r="M49">
        <v>0</v>
      </c>
      <c r="N49">
        <v>0</v>
      </c>
      <c r="O49">
        <v>0</v>
      </c>
      <c r="P49">
        <v>2</v>
      </c>
      <c r="Q49">
        <v>506.20244000000008</v>
      </c>
      <c r="R49">
        <v>512.99144000000013</v>
      </c>
      <c r="S49">
        <v>5569.4386399999994</v>
      </c>
    </row>
    <row r="50" spans="1:19" ht="15" x14ac:dyDescent="0.25">
      <c r="A50" t="s">
        <v>2020</v>
      </c>
      <c r="C50" t="s">
        <v>186</v>
      </c>
      <c r="D50" t="s">
        <v>131</v>
      </c>
      <c r="F50" t="s">
        <v>26</v>
      </c>
      <c r="G50">
        <v>0</v>
      </c>
      <c r="H50">
        <v>0</v>
      </c>
      <c r="I50">
        <v>0</v>
      </c>
      <c r="J50">
        <v>0</v>
      </c>
      <c r="K50">
        <v>60</v>
      </c>
      <c r="L50">
        <v>0.24</v>
      </c>
      <c r="M50">
        <v>0</v>
      </c>
      <c r="N50">
        <v>0</v>
      </c>
      <c r="O50">
        <v>0</v>
      </c>
      <c r="P50">
        <v>0</v>
      </c>
      <c r="Q50">
        <v>0</v>
      </c>
      <c r="R50">
        <v>0</v>
      </c>
      <c r="S50">
        <v>815.55599999999993</v>
      </c>
    </row>
    <row r="51" spans="1:19" ht="15" x14ac:dyDescent="0.25">
      <c r="A51" t="s">
        <v>2021</v>
      </c>
      <c r="C51" t="s">
        <v>186</v>
      </c>
      <c r="D51" t="s">
        <v>131</v>
      </c>
      <c r="F51" t="s">
        <v>26</v>
      </c>
      <c r="G51">
        <v>0</v>
      </c>
      <c r="H51">
        <v>0</v>
      </c>
      <c r="I51">
        <v>0</v>
      </c>
      <c r="J51">
        <v>0</v>
      </c>
      <c r="K51">
        <v>60</v>
      </c>
      <c r="L51">
        <v>0.24</v>
      </c>
      <c r="M51">
        <v>0</v>
      </c>
      <c r="N51">
        <v>0</v>
      </c>
      <c r="O51">
        <v>0</v>
      </c>
      <c r="P51">
        <v>0</v>
      </c>
      <c r="Q51">
        <v>0</v>
      </c>
      <c r="R51">
        <v>0</v>
      </c>
      <c r="S51">
        <v>815.55599999999993</v>
      </c>
    </row>
    <row r="52" spans="1:19" ht="15" x14ac:dyDescent="0.25">
      <c r="A52" t="s">
        <v>1584</v>
      </c>
      <c r="B52" t="s">
        <v>1475</v>
      </c>
      <c r="C52" t="s">
        <v>22</v>
      </c>
      <c r="D52" t="s">
        <v>33</v>
      </c>
      <c r="E52" t="s">
        <v>34</v>
      </c>
      <c r="F52" t="s">
        <v>35</v>
      </c>
      <c r="G52">
        <v>265.59951923076909</v>
      </c>
      <c r="H52">
        <v>0.48562499999999975</v>
      </c>
      <c r="I52">
        <v>429.59134615384585</v>
      </c>
      <c r="J52">
        <v>524.10144230769197</v>
      </c>
      <c r="K52">
        <v>118.5</v>
      </c>
      <c r="L52">
        <v>0.47400000000000003</v>
      </c>
      <c r="M52">
        <v>22.413461538461526</v>
      </c>
      <c r="N52">
        <v>0</v>
      </c>
      <c r="O52">
        <v>0</v>
      </c>
      <c r="P52">
        <v>0</v>
      </c>
      <c r="Q52">
        <v>3657.1710111057669</v>
      </c>
      <c r="R52">
        <v>3657.1710111057669</v>
      </c>
      <c r="S52">
        <v>5267.8941111057675</v>
      </c>
    </row>
    <row r="53" spans="1:19" ht="15" x14ac:dyDescent="0.25">
      <c r="A53" t="s">
        <v>1585</v>
      </c>
      <c r="B53" t="s">
        <v>1476</v>
      </c>
      <c r="C53" t="s">
        <v>22</v>
      </c>
      <c r="D53" t="s">
        <v>33</v>
      </c>
      <c r="E53" t="s">
        <v>34</v>
      </c>
      <c r="F53" t="s">
        <v>35</v>
      </c>
      <c r="G53">
        <v>187.95742067307683</v>
      </c>
      <c r="H53">
        <v>0.36421874999999981</v>
      </c>
      <c r="I53">
        <v>803.14903846153811</v>
      </c>
      <c r="J53">
        <v>899.52692307692269</v>
      </c>
      <c r="K53">
        <v>152.02688760000004</v>
      </c>
      <c r="L53">
        <v>0.6081075504000002</v>
      </c>
      <c r="M53">
        <v>205.08317307692295</v>
      </c>
      <c r="N53">
        <v>0.36040434262936522</v>
      </c>
      <c r="O53">
        <v>0.97972723608288925</v>
      </c>
      <c r="P53">
        <v>15.129086538461531</v>
      </c>
      <c r="Q53">
        <v>4869.4528549759589</v>
      </c>
      <c r="R53">
        <v>4920.8085392307667</v>
      </c>
      <c r="S53">
        <v>6987.2492116225276</v>
      </c>
    </row>
    <row r="54" spans="1:19" ht="15" x14ac:dyDescent="0.25">
      <c r="A54" t="s">
        <v>1586</v>
      </c>
      <c r="B54" t="s">
        <v>25</v>
      </c>
      <c r="C54" t="s">
        <v>22</v>
      </c>
      <c r="D54" t="s">
        <v>23</v>
      </c>
      <c r="E54" t="s">
        <v>24</v>
      </c>
      <c r="F54" t="s">
        <v>35</v>
      </c>
      <c r="G54">
        <v>411.13376999999997</v>
      </c>
      <c r="H54">
        <v>1.3593299999999999</v>
      </c>
      <c r="I54">
        <v>650</v>
      </c>
      <c r="J54">
        <v>1008</v>
      </c>
      <c r="K54">
        <v>148.48714799999999</v>
      </c>
      <c r="L54">
        <v>0.59394859199999994</v>
      </c>
      <c r="M54">
        <v>198.08219178082192</v>
      </c>
      <c r="N54">
        <v>0.63677529879917705</v>
      </c>
      <c r="O54">
        <v>0.99879163716422292</v>
      </c>
      <c r="P54">
        <v>21.85</v>
      </c>
      <c r="Q54">
        <v>7918.6573104999998</v>
      </c>
      <c r="R54">
        <v>7992.8271354999988</v>
      </c>
      <c r="S54">
        <v>10011.153543404798</v>
      </c>
    </row>
    <row r="55" spans="1:19" ht="15" x14ac:dyDescent="0.25">
      <c r="A55" t="s">
        <v>285</v>
      </c>
      <c r="C55" t="s">
        <v>66</v>
      </c>
      <c r="D55" t="s">
        <v>23</v>
      </c>
      <c r="E55" t="s">
        <v>34</v>
      </c>
      <c r="F55" t="s">
        <v>26</v>
      </c>
      <c r="G55">
        <v>0</v>
      </c>
      <c r="H55">
        <v>0</v>
      </c>
      <c r="I55">
        <v>0</v>
      </c>
      <c r="J55">
        <v>0</v>
      </c>
      <c r="K55">
        <v>0</v>
      </c>
      <c r="L55">
        <v>0</v>
      </c>
      <c r="M55">
        <v>0</v>
      </c>
      <c r="N55">
        <v>0</v>
      </c>
      <c r="O55">
        <v>0</v>
      </c>
      <c r="P55">
        <v>0</v>
      </c>
      <c r="Q55">
        <v>0</v>
      </c>
      <c r="R55">
        <v>0</v>
      </c>
      <c r="S55">
        <v>0</v>
      </c>
    </row>
    <row r="56" spans="1:19" ht="15" x14ac:dyDescent="0.25">
      <c r="A56" t="s">
        <v>288</v>
      </c>
      <c r="C56" t="s">
        <v>66</v>
      </c>
      <c r="D56" t="s">
        <v>23</v>
      </c>
      <c r="E56" t="s">
        <v>34</v>
      </c>
      <c r="F56" t="s">
        <v>26</v>
      </c>
      <c r="G56">
        <v>0</v>
      </c>
      <c r="H56">
        <v>0</v>
      </c>
      <c r="I56">
        <v>0</v>
      </c>
      <c r="J56">
        <v>0</v>
      </c>
      <c r="K56">
        <v>0</v>
      </c>
      <c r="L56">
        <v>0</v>
      </c>
      <c r="M56">
        <v>0</v>
      </c>
      <c r="N56">
        <v>0</v>
      </c>
      <c r="O56">
        <v>0</v>
      </c>
      <c r="P56">
        <v>0</v>
      </c>
      <c r="Q56">
        <v>0</v>
      </c>
      <c r="R56">
        <v>0</v>
      </c>
      <c r="S56">
        <v>0</v>
      </c>
    </row>
    <row r="57" spans="1:19" ht="15" x14ac:dyDescent="0.25">
      <c r="A57" t="s">
        <v>289</v>
      </c>
      <c r="C57" t="s">
        <v>66</v>
      </c>
      <c r="D57" t="s">
        <v>101</v>
      </c>
      <c r="E57" t="s">
        <v>34</v>
      </c>
      <c r="F57" t="s">
        <v>26</v>
      </c>
      <c r="G57">
        <v>0</v>
      </c>
      <c r="H57">
        <v>0</v>
      </c>
      <c r="I57">
        <v>0</v>
      </c>
      <c r="J57">
        <v>0</v>
      </c>
      <c r="K57">
        <v>0</v>
      </c>
      <c r="L57">
        <v>0</v>
      </c>
      <c r="M57">
        <v>0</v>
      </c>
      <c r="N57">
        <v>0</v>
      </c>
      <c r="O57">
        <v>0</v>
      </c>
      <c r="P57">
        <v>0</v>
      </c>
      <c r="Q57">
        <v>0</v>
      </c>
      <c r="R57">
        <v>0</v>
      </c>
      <c r="S57">
        <v>0</v>
      </c>
    </row>
    <row r="58" spans="1:19" ht="15" x14ac:dyDescent="0.25">
      <c r="A58" t="s">
        <v>291</v>
      </c>
      <c r="C58" t="s">
        <v>22</v>
      </c>
      <c r="D58" t="s">
        <v>292</v>
      </c>
      <c r="E58" t="s">
        <v>24</v>
      </c>
      <c r="F58" t="s">
        <v>26</v>
      </c>
      <c r="G58">
        <v>0</v>
      </c>
      <c r="H58">
        <v>0</v>
      </c>
      <c r="I58">
        <v>0</v>
      </c>
      <c r="J58">
        <v>0</v>
      </c>
      <c r="K58">
        <v>0</v>
      </c>
      <c r="L58">
        <v>0</v>
      </c>
      <c r="M58">
        <v>0</v>
      </c>
      <c r="N58">
        <v>0</v>
      </c>
      <c r="O58">
        <v>0</v>
      </c>
      <c r="P58">
        <v>0</v>
      </c>
      <c r="Q58">
        <v>0</v>
      </c>
      <c r="R58">
        <v>0</v>
      </c>
      <c r="S58">
        <v>0</v>
      </c>
    </row>
    <row r="59" spans="1:19" ht="15" x14ac:dyDescent="0.25">
      <c r="A59" t="s">
        <v>296</v>
      </c>
      <c r="C59" t="s">
        <v>22</v>
      </c>
      <c r="D59" t="s">
        <v>292</v>
      </c>
      <c r="E59" t="s">
        <v>24</v>
      </c>
      <c r="F59" t="s">
        <v>26</v>
      </c>
      <c r="G59">
        <v>0</v>
      </c>
      <c r="H59">
        <v>0</v>
      </c>
      <c r="I59">
        <v>0</v>
      </c>
      <c r="J59">
        <v>0</v>
      </c>
      <c r="K59">
        <v>0</v>
      </c>
      <c r="L59">
        <v>0</v>
      </c>
      <c r="M59">
        <v>0</v>
      </c>
      <c r="N59">
        <v>0</v>
      </c>
      <c r="O59">
        <v>0</v>
      </c>
      <c r="P59">
        <v>0</v>
      </c>
      <c r="Q59">
        <v>0</v>
      </c>
      <c r="R59">
        <v>0</v>
      </c>
      <c r="S59">
        <v>0</v>
      </c>
    </row>
    <row r="60" spans="1:19" ht="15" x14ac:dyDescent="0.25">
      <c r="A60" t="s">
        <v>301</v>
      </c>
      <c r="C60" t="s">
        <v>66</v>
      </c>
      <c r="D60" t="s">
        <v>23</v>
      </c>
      <c r="E60" t="s">
        <v>34</v>
      </c>
      <c r="F60" t="s">
        <v>26</v>
      </c>
      <c r="G60">
        <v>2.0249999999999999</v>
      </c>
      <c r="H60">
        <v>4.0000000000000001E-3</v>
      </c>
      <c r="I60">
        <v>0</v>
      </c>
      <c r="J60">
        <v>0</v>
      </c>
      <c r="K60">
        <v>3.7664999999999997</v>
      </c>
      <c r="L60">
        <v>1.5066E-2</v>
      </c>
      <c r="M60">
        <v>0</v>
      </c>
      <c r="N60">
        <v>0.97161076718912276</v>
      </c>
      <c r="O60">
        <v>0.99999997198714485</v>
      </c>
      <c r="P60">
        <v>0</v>
      </c>
      <c r="Q60">
        <v>21.075099999999999</v>
      </c>
      <c r="R60">
        <v>21.075099999999999</v>
      </c>
      <c r="S60">
        <v>72.271627899999984</v>
      </c>
    </row>
    <row r="61" spans="1:19" ht="15" x14ac:dyDescent="0.25">
      <c r="A61" t="s">
        <v>1587</v>
      </c>
      <c r="B61" t="s">
        <v>1477</v>
      </c>
      <c r="C61" t="s">
        <v>66</v>
      </c>
      <c r="D61" t="s">
        <v>23</v>
      </c>
      <c r="E61" t="s">
        <v>34</v>
      </c>
      <c r="F61" t="s">
        <v>35</v>
      </c>
      <c r="G61">
        <v>7.7249999999999996</v>
      </c>
      <c r="H61">
        <v>1.2200000000000001E-2</v>
      </c>
      <c r="I61">
        <v>0</v>
      </c>
      <c r="J61">
        <v>6.16</v>
      </c>
      <c r="K61">
        <v>13.950000000000001</v>
      </c>
      <c r="L61">
        <v>5.5800000000000002E-2</v>
      </c>
      <c r="M61">
        <v>0</v>
      </c>
      <c r="N61">
        <v>0</v>
      </c>
      <c r="O61">
        <v>0</v>
      </c>
      <c r="P61">
        <v>0</v>
      </c>
      <c r="Q61">
        <v>79.497146000000001</v>
      </c>
      <c r="R61">
        <v>79.497146000000001</v>
      </c>
      <c r="S61">
        <v>269.11391600000002</v>
      </c>
    </row>
    <row r="62" spans="1:19" ht="15" x14ac:dyDescent="0.25">
      <c r="A62" t="s">
        <v>306</v>
      </c>
      <c r="C62" t="s">
        <v>66</v>
      </c>
      <c r="D62" t="s">
        <v>23</v>
      </c>
      <c r="E62" t="s">
        <v>34</v>
      </c>
      <c r="F62" t="s">
        <v>26</v>
      </c>
      <c r="G62">
        <v>0</v>
      </c>
      <c r="H62">
        <v>0</v>
      </c>
      <c r="I62">
        <v>0</v>
      </c>
      <c r="J62">
        <v>0</v>
      </c>
      <c r="K62">
        <v>0</v>
      </c>
      <c r="L62">
        <v>0</v>
      </c>
      <c r="M62">
        <v>0</v>
      </c>
      <c r="N62">
        <v>0.98570318412244295</v>
      </c>
      <c r="O62">
        <v>0.99999999822892538</v>
      </c>
      <c r="P62">
        <v>0</v>
      </c>
      <c r="Q62">
        <v>0</v>
      </c>
      <c r="R62">
        <v>0</v>
      </c>
      <c r="S62">
        <v>0</v>
      </c>
    </row>
    <row r="63" spans="1:19" ht="15" x14ac:dyDescent="0.25">
      <c r="A63" t="s">
        <v>308</v>
      </c>
      <c r="C63" t="s">
        <v>22</v>
      </c>
      <c r="D63" t="s">
        <v>23</v>
      </c>
      <c r="E63" t="s">
        <v>34</v>
      </c>
      <c r="F63" t="s">
        <v>26</v>
      </c>
      <c r="G63">
        <v>0</v>
      </c>
      <c r="H63">
        <v>0</v>
      </c>
      <c r="I63">
        <v>0</v>
      </c>
      <c r="J63">
        <v>0</v>
      </c>
      <c r="K63">
        <v>0</v>
      </c>
      <c r="L63">
        <v>0</v>
      </c>
      <c r="M63">
        <v>0</v>
      </c>
      <c r="N63">
        <v>0.90118904285844348</v>
      </c>
      <c r="O63">
        <v>0.99999550727610353</v>
      </c>
      <c r="P63">
        <v>0</v>
      </c>
      <c r="Q63">
        <v>0</v>
      </c>
      <c r="R63">
        <v>0</v>
      </c>
      <c r="S63">
        <v>0</v>
      </c>
    </row>
    <row r="64" spans="1:19" ht="15" x14ac:dyDescent="0.25">
      <c r="A64" t="s">
        <v>309</v>
      </c>
      <c r="C64" t="s">
        <v>22</v>
      </c>
      <c r="D64" t="s">
        <v>33</v>
      </c>
      <c r="E64" t="s">
        <v>34</v>
      </c>
      <c r="F64" t="s">
        <v>26</v>
      </c>
      <c r="G64">
        <v>0</v>
      </c>
      <c r="H64">
        <v>0</v>
      </c>
      <c r="I64">
        <v>0</v>
      </c>
      <c r="J64">
        <v>0</v>
      </c>
      <c r="K64">
        <v>0</v>
      </c>
      <c r="L64">
        <v>0</v>
      </c>
      <c r="M64">
        <v>0</v>
      </c>
      <c r="N64">
        <v>0</v>
      </c>
      <c r="O64">
        <v>0</v>
      </c>
      <c r="P64">
        <v>0</v>
      </c>
      <c r="Q64">
        <v>0</v>
      </c>
      <c r="R64">
        <v>0</v>
      </c>
      <c r="S64">
        <v>0</v>
      </c>
    </row>
    <row r="65" spans="1:19" ht="15" x14ac:dyDescent="0.25">
      <c r="A65" t="s">
        <v>2022</v>
      </c>
      <c r="C65" t="s">
        <v>66</v>
      </c>
      <c r="D65" t="s">
        <v>131</v>
      </c>
      <c r="E65" t="s">
        <v>24</v>
      </c>
      <c r="F65" t="s">
        <v>26</v>
      </c>
      <c r="G65">
        <v>2.7810000000000001</v>
      </c>
      <c r="H65">
        <v>3.6000000000000003E-3</v>
      </c>
      <c r="I65">
        <v>0</v>
      </c>
      <c r="J65">
        <v>0</v>
      </c>
      <c r="K65">
        <v>60</v>
      </c>
      <c r="L65">
        <v>0.24</v>
      </c>
      <c r="M65">
        <v>0</v>
      </c>
      <c r="N65">
        <v>0.86588774805920499</v>
      </c>
      <c r="O65">
        <v>0.99998402911185846</v>
      </c>
      <c r="P65">
        <v>0</v>
      </c>
      <c r="Q65">
        <v>25.964639999999999</v>
      </c>
      <c r="R65">
        <v>25.964639999999999</v>
      </c>
      <c r="S65">
        <v>841.52064000000007</v>
      </c>
    </row>
    <row r="66" spans="1:19" ht="15" x14ac:dyDescent="0.25">
      <c r="A66" t="s">
        <v>323</v>
      </c>
      <c r="C66" t="s">
        <v>66</v>
      </c>
      <c r="D66" t="s">
        <v>23</v>
      </c>
      <c r="E66" t="s">
        <v>34</v>
      </c>
      <c r="F66" t="s">
        <v>26</v>
      </c>
      <c r="G66">
        <v>211.9</v>
      </c>
      <c r="H66">
        <v>45</v>
      </c>
      <c r="I66">
        <v>0</v>
      </c>
      <c r="J66">
        <v>0</v>
      </c>
      <c r="K66">
        <v>394.13400000000001</v>
      </c>
      <c r="L66">
        <v>1.5765360000000002</v>
      </c>
      <c r="M66">
        <v>0</v>
      </c>
      <c r="N66">
        <v>0.97161076718912276</v>
      </c>
      <c r="O66">
        <v>0.99999997198714485</v>
      </c>
      <c r="P66">
        <v>0</v>
      </c>
      <c r="Q66">
        <v>72338.62</v>
      </c>
      <c r="R66">
        <v>72338.62</v>
      </c>
      <c r="S66">
        <v>77695.925808399988</v>
      </c>
    </row>
    <row r="67" spans="1:19" ht="15" x14ac:dyDescent="0.25">
      <c r="A67" t="s">
        <v>324</v>
      </c>
      <c r="C67" t="s">
        <v>66</v>
      </c>
      <c r="D67" t="s">
        <v>23</v>
      </c>
      <c r="E67" t="s">
        <v>34</v>
      </c>
      <c r="F67" t="s">
        <v>26</v>
      </c>
      <c r="G67">
        <v>1.296</v>
      </c>
      <c r="H67">
        <v>2.5000000000000001E-3</v>
      </c>
      <c r="I67">
        <v>0</v>
      </c>
      <c r="J67">
        <v>0</v>
      </c>
      <c r="K67">
        <v>2.4105600000000003</v>
      </c>
      <c r="L67">
        <v>9.6422400000000016E-3</v>
      </c>
      <c r="M67">
        <v>0</v>
      </c>
      <c r="N67">
        <v>0</v>
      </c>
      <c r="O67">
        <v>0</v>
      </c>
      <c r="P67">
        <v>0</v>
      </c>
      <c r="Q67">
        <v>13.393675</v>
      </c>
      <c r="R67">
        <v>13.393675</v>
      </c>
      <c r="S67">
        <v>46.159452856000001</v>
      </c>
    </row>
    <row r="68" spans="1:19" ht="15" x14ac:dyDescent="0.25">
      <c r="A68" t="s">
        <v>326</v>
      </c>
      <c r="C68" t="s">
        <v>22</v>
      </c>
      <c r="D68" t="s">
        <v>23</v>
      </c>
      <c r="E68" t="s">
        <v>34</v>
      </c>
      <c r="F68" t="s">
        <v>26</v>
      </c>
      <c r="G68">
        <v>65.032605000000004</v>
      </c>
      <c r="H68">
        <v>0</v>
      </c>
      <c r="I68">
        <v>0</v>
      </c>
      <c r="J68">
        <v>0</v>
      </c>
      <c r="K68">
        <v>120.9606453</v>
      </c>
      <c r="L68">
        <v>0.48384258120000001</v>
      </c>
      <c r="M68">
        <v>0</v>
      </c>
      <c r="N68">
        <v>0.86349166226853125</v>
      </c>
      <c r="O68">
        <v>0.99998280181882226</v>
      </c>
      <c r="P68">
        <v>0</v>
      </c>
      <c r="Q68">
        <v>474.73801650000001</v>
      </c>
      <c r="R68">
        <v>474.73801650000001</v>
      </c>
      <c r="S68">
        <v>2118.9076838047799</v>
      </c>
    </row>
    <row r="69" spans="1:19" ht="30" x14ac:dyDescent="0.25">
      <c r="A69" s="6" t="s">
        <v>327</v>
      </c>
      <c r="C69" t="s">
        <v>66</v>
      </c>
      <c r="D69" t="s">
        <v>23</v>
      </c>
      <c r="E69" t="s">
        <v>34</v>
      </c>
      <c r="F69" t="s">
        <v>35</v>
      </c>
      <c r="G69">
        <v>2.6330399999999998</v>
      </c>
      <c r="H69">
        <v>8.4900000000000004E-4</v>
      </c>
      <c r="I69">
        <v>0</v>
      </c>
      <c r="J69">
        <v>0</v>
      </c>
      <c r="K69">
        <v>3.6277439999999999</v>
      </c>
      <c r="L69">
        <v>1.4510976E-2</v>
      </c>
      <c r="M69">
        <v>0</v>
      </c>
      <c r="N69">
        <v>0</v>
      </c>
      <c r="O69">
        <v>0</v>
      </c>
      <c r="P69">
        <v>0</v>
      </c>
      <c r="Q69">
        <v>20.556796349999999</v>
      </c>
      <c r="R69">
        <v>20.556796349999999</v>
      </c>
      <c r="S69">
        <v>69.867269444399994</v>
      </c>
    </row>
    <row r="70" spans="1:19" ht="15" x14ac:dyDescent="0.25">
      <c r="A70" t="s">
        <v>328</v>
      </c>
      <c r="C70" t="s">
        <v>186</v>
      </c>
      <c r="D70" t="s">
        <v>131</v>
      </c>
      <c r="F70" t="s">
        <v>26</v>
      </c>
      <c r="G70">
        <v>0</v>
      </c>
      <c r="H70">
        <v>0</v>
      </c>
      <c r="I70">
        <v>0</v>
      </c>
      <c r="J70">
        <v>0</v>
      </c>
      <c r="K70">
        <v>60</v>
      </c>
      <c r="L70">
        <v>0.24</v>
      </c>
      <c r="M70">
        <v>0</v>
      </c>
      <c r="N70">
        <v>0</v>
      </c>
      <c r="O70">
        <v>0</v>
      </c>
      <c r="P70">
        <v>0</v>
      </c>
      <c r="Q70">
        <v>0</v>
      </c>
      <c r="R70">
        <v>0</v>
      </c>
      <c r="S70">
        <v>815.55599999999993</v>
      </c>
    </row>
    <row r="71" spans="1:19" ht="30" x14ac:dyDescent="0.25">
      <c r="A71" s="6" t="s">
        <v>2023</v>
      </c>
      <c r="C71" t="s">
        <v>66</v>
      </c>
      <c r="D71" t="s">
        <v>23</v>
      </c>
      <c r="E71" t="s">
        <v>34</v>
      </c>
      <c r="F71" t="s">
        <v>26</v>
      </c>
      <c r="G71">
        <v>0.20439000000000002</v>
      </c>
      <c r="H71">
        <v>1.7084039999999997E-5</v>
      </c>
      <c r="I71">
        <v>0</v>
      </c>
      <c r="J71">
        <v>0</v>
      </c>
      <c r="K71">
        <v>0.38016539999999999</v>
      </c>
      <c r="L71">
        <v>1.5206616E-3</v>
      </c>
      <c r="M71">
        <v>0</v>
      </c>
      <c r="N71">
        <v>0</v>
      </c>
      <c r="O71">
        <v>0</v>
      </c>
      <c r="P71">
        <v>0</v>
      </c>
      <c r="Q71">
        <v>1.518922757526</v>
      </c>
      <c r="R71">
        <v>1.518922757526</v>
      </c>
      <c r="S71">
        <v>6.6863589735659996</v>
      </c>
    </row>
    <row r="72" spans="1:19" ht="30" x14ac:dyDescent="0.25">
      <c r="A72" s="6" t="s">
        <v>333</v>
      </c>
      <c r="C72" t="s">
        <v>66</v>
      </c>
      <c r="D72" t="s">
        <v>23</v>
      </c>
      <c r="E72" t="s">
        <v>34</v>
      </c>
      <c r="F72" t="s">
        <v>26</v>
      </c>
      <c r="G72">
        <v>1.8360000000000001</v>
      </c>
      <c r="H72">
        <v>3.5000000000000003E-2</v>
      </c>
      <c r="I72">
        <v>0</v>
      </c>
      <c r="J72">
        <v>0</v>
      </c>
      <c r="K72">
        <v>3.4149599999999998</v>
      </c>
      <c r="L72">
        <v>1.3659839999999999E-2</v>
      </c>
      <c r="M72">
        <v>0</v>
      </c>
      <c r="N72">
        <v>0</v>
      </c>
      <c r="O72">
        <v>0</v>
      </c>
      <c r="P72">
        <v>0</v>
      </c>
      <c r="Q72">
        <v>68.46305000000001</v>
      </c>
      <c r="R72">
        <v>68.46305000000001</v>
      </c>
      <c r="S72">
        <v>114.881235296</v>
      </c>
    </row>
    <row r="73" spans="1:19" ht="15" x14ac:dyDescent="0.25">
      <c r="A73" t="s">
        <v>336</v>
      </c>
      <c r="C73" t="s">
        <v>22</v>
      </c>
      <c r="D73" t="s">
        <v>23</v>
      </c>
      <c r="E73" t="s">
        <v>34</v>
      </c>
      <c r="F73" t="s">
        <v>26</v>
      </c>
      <c r="G73">
        <v>0</v>
      </c>
      <c r="H73">
        <v>0</v>
      </c>
      <c r="I73">
        <v>0</v>
      </c>
      <c r="J73">
        <v>0</v>
      </c>
      <c r="K73">
        <v>0</v>
      </c>
      <c r="L73">
        <v>0</v>
      </c>
      <c r="M73">
        <v>0</v>
      </c>
      <c r="N73">
        <v>0.73838347041818864</v>
      </c>
      <c r="O73">
        <v>0.99972305086997149</v>
      </c>
      <c r="P73">
        <v>0</v>
      </c>
      <c r="Q73">
        <v>0</v>
      </c>
      <c r="R73">
        <v>0</v>
      </c>
      <c r="S73">
        <v>0</v>
      </c>
    </row>
    <row r="74" spans="1:19" ht="15" x14ac:dyDescent="0.25">
      <c r="A74" t="s">
        <v>1588</v>
      </c>
      <c r="B74" t="s">
        <v>221</v>
      </c>
      <c r="C74" t="s">
        <v>66</v>
      </c>
      <c r="D74" t="s">
        <v>23</v>
      </c>
      <c r="E74" t="s">
        <v>34</v>
      </c>
      <c r="F74" t="s">
        <v>35</v>
      </c>
      <c r="G74">
        <v>27.913</v>
      </c>
      <c r="H74">
        <v>5.2436000000000003E-2</v>
      </c>
      <c r="I74">
        <v>0</v>
      </c>
      <c r="J74">
        <v>126.56</v>
      </c>
      <c r="K74">
        <v>50.405999999999999</v>
      </c>
      <c r="L74">
        <v>0.201624</v>
      </c>
      <c r="M74">
        <v>0</v>
      </c>
      <c r="N74">
        <v>0</v>
      </c>
      <c r="O74">
        <v>0</v>
      </c>
      <c r="P74">
        <v>0</v>
      </c>
      <c r="Q74">
        <v>366.6328494</v>
      </c>
      <c r="R74">
        <v>366.6328494</v>
      </c>
      <c r="S74">
        <v>1051.7814450000001</v>
      </c>
    </row>
    <row r="75" spans="1:19" ht="15" x14ac:dyDescent="0.25">
      <c r="A75" t="s">
        <v>2024</v>
      </c>
      <c r="C75" t="s">
        <v>66</v>
      </c>
      <c r="D75" t="s">
        <v>23</v>
      </c>
      <c r="E75" t="s">
        <v>34</v>
      </c>
      <c r="F75" t="s">
        <v>26</v>
      </c>
      <c r="G75">
        <v>0</v>
      </c>
      <c r="H75">
        <v>0</v>
      </c>
      <c r="I75">
        <v>0</v>
      </c>
      <c r="J75">
        <v>0</v>
      </c>
      <c r="K75">
        <v>0</v>
      </c>
      <c r="L75">
        <v>0</v>
      </c>
      <c r="M75">
        <v>0</v>
      </c>
      <c r="N75">
        <v>0</v>
      </c>
      <c r="O75">
        <v>0</v>
      </c>
      <c r="P75">
        <v>0</v>
      </c>
      <c r="Q75">
        <v>0</v>
      </c>
      <c r="R75">
        <v>0</v>
      </c>
      <c r="S75">
        <v>0</v>
      </c>
    </row>
    <row r="76" spans="1:19" ht="15" x14ac:dyDescent="0.25">
      <c r="A76" t="s">
        <v>344</v>
      </c>
      <c r="C76" t="s">
        <v>22</v>
      </c>
      <c r="D76" t="s">
        <v>23</v>
      </c>
      <c r="E76" t="s">
        <v>34</v>
      </c>
      <c r="F76" t="s">
        <v>26</v>
      </c>
      <c r="G76">
        <v>63.562859999999993</v>
      </c>
      <c r="H76">
        <v>8.3826999999999999E-2</v>
      </c>
      <c r="I76">
        <v>0</v>
      </c>
      <c r="J76">
        <v>0</v>
      </c>
      <c r="K76">
        <v>118.2269196</v>
      </c>
      <c r="L76">
        <v>0.47290767840000003</v>
      </c>
      <c r="M76">
        <v>0</v>
      </c>
      <c r="N76">
        <v>0.86985669357549167</v>
      </c>
      <c r="O76">
        <v>0.99998591212641919</v>
      </c>
      <c r="P76">
        <v>0</v>
      </c>
      <c r="Q76">
        <v>595.88132304999999</v>
      </c>
      <c r="R76">
        <v>595.88132304999999</v>
      </c>
      <c r="S76">
        <v>2202.8925504049603</v>
      </c>
    </row>
    <row r="77" spans="1:19" ht="15" x14ac:dyDescent="0.25">
      <c r="A77" t="s">
        <v>587</v>
      </c>
      <c r="C77" t="s">
        <v>22</v>
      </c>
      <c r="D77" t="s">
        <v>23</v>
      </c>
      <c r="E77" t="s">
        <v>34</v>
      </c>
      <c r="F77" t="s">
        <v>26</v>
      </c>
      <c r="G77">
        <v>24.249374999999997</v>
      </c>
      <c r="H77">
        <v>1.0152E-2</v>
      </c>
      <c r="I77">
        <v>0</v>
      </c>
      <c r="J77">
        <v>0</v>
      </c>
      <c r="K77">
        <v>45.103837499999997</v>
      </c>
      <c r="L77">
        <v>0.18041535</v>
      </c>
      <c r="M77">
        <v>0</v>
      </c>
      <c r="N77">
        <v>0.90517552754863673</v>
      </c>
      <c r="O77">
        <v>0.99999620920263288</v>
      </c>
      <c r="P77">
        <v>0</v>
      </c>
      <c r="Q77">
        <v>192.99105629999997</v>
      </c>
      <c r="R77">
        <v>192.99105629999997</v>
      </c>
      <c r="S77">
        <v>806.0694779024999</v>
      </c>
    </row>
    <row r="78" spans="1:19" ht="15" x14ac:dyDescent="0.25">
      <c r="A78" t="s">
        <v>1589</v>
      </c>
      <c r="B78" t="s">
        <v>1478</v>
      </c>
      <c r="C78" t="s">
        <v>22</v>
      </c>
      <c r="D78" t="s">
        <v>23</v>
      </c>
      <c r="E78" t="s">
        <v>34</v>
      </c>
      <c r="F78" t="s">
        <v>35</v>
      </c>
      <c r="G78">
        <v>0</v>
      </c>
      <c r="H78">
        <v>0</v>
      </c>
      <c r="I78">
        <v>0</v>
      </c>
      <c r="J78">
        <v>0</v>
      </c>
      <c r="K78">
        <v>0</v>
      </c>
      <c r="L78">
        <v>0</v>
      </c>
      <c r="M78">
        <v>0</v>
      </c>
      <c r="N78">
        <v>0</v>
      </c>
      <c r="O78">
        <v>0</v>
      </c>
      <c r="P78">
        <v>0</v>
      </c>
      <c r="Q78">
        <v>0</v>
      </c>
      <c r="R78">
        <v>0</v>
      </c>
      <c r="S78">
        <v>0</v>
      </c>
    </row>
    <row r="79" spans="1:19" ht="15" x14ac:dyDescent="0.25">
      <c r="A79" t="s">
        <v>1590</v>
      </c>
      <c r="B79" t="s">
        <v>1479</v>
      </c>
      <c r="C79" t="s">
        <v>46</v>
      </c>
      <c r="D79" t="s">
        <v>165</v>
      </c>
      <c r="E79" t="s">
        <v>34</v>
      </c>
      <c r="F79" t="s">
        <v>35</v>
      </c>
      <c r="G79">
        <v>0</v>
      </c>
      <c r="H79">
        <v>0</v>
      </c>
      <c r="I79">
        <v>0</v>
      </c>
      <c r="J79">
        <v>0</v>
      </c>
      <c r="K79">
        <v>0</v>
      </c>
      <c r="L79">
        <v>0</v>
      </c>
      <c r="M79">
        <v>0</v>
      </c>
      <c r="N79">
        <v>0.54881163609402639</v>
      </c>
      <c r="O79">
        <v>0.99664193114675204</v>
      </c>
      <c r="P79">
        <v>37.333333333333336</v>
      </c>
      <c r="Q79">
        <v>0</v>
      </c>
      <c r="R79">
        <v>126.72800000000002</v>
      </c>
      <c r="S79">
        <v>126.72800000000002</v>
      </c>
    </row>
    <row r="80" spans="1:19" ht="15" x14ac:dyDescent="0.25">
      <c r="A80" t="s">
        <v>1591</v>
      </c>
      <c r="B80" t="s">
        <v>1480</v>
      </c>
      <c r="C80" t="s">
        <v>22</v>
      </c>
      <c r="D80" t="s">
        <v>116</v>
      </c>
      <c r="E80" t="s">
        <v>34</v>
      </c>
      <c r="F80" t="s">
        <v>35</v>
      </c>
      <c r="G80">
        <v>316.46873798076911</v>
      </c>
      <c r="H80">
        <v>0.63504807692307663</v>
      </c>
      <c r="I80">
        <v>337.13581730769209</v>
      </c>
      <c r="J80">
        <v>94.136538461538407</v>
      </c>
      <c r="K80">
        <v>65.50152400890002</v>
      </c>
      <c r="L80">
        <v>0.2620060960356001</v>
      </c>
      <c r="M80">
        <v>57.714663461538429</v>
      </c>
      <c r="N80">
        <v>0</v>
      </c>
      <c r="O80">
        <v>0</v>
      </c>
      <c r="P80">
        <v>2.7</v>
      </c>
      <c r="Q80">
        <v>4149.6701824038446</v>
      </c>
      <c r="R80">
        <v>4158.8353324038444</v>
      </c>
      <c r="S80">
        <v>5049.1713476472187</v>
      </c>
    </row>
    <row r="81" spans="1:19" ht="15" x14ac:dyDescent="0.25">
      <c r="A81" t="s">
        <v>976</v>
      </c>
      <c r="C81" t="s">
        <v>186</v>
      </c>
      <c r="D81" t="s">
        <v>23</v>
      </c>
      <c r="E81" t="s">
        <v>34</v>
      </c>
      <c r="F81" t="s">
        <v>26</v>
      </c>
      <c r="G81">
        <v>49.004999999999995</v>
      </c>
      <c r="H81">
        <v>0.09</v>
      </c>
      <c r="I81">
        <v>0</v>
      </c>
      <c r="J81">
        <v>1536</v>
      </c>
      <c r="K81">
        <v>91.149299999999982</v>
      </c>
      <c r="L81">
        <v>0.36459719999999995</v>
      </c>
      <c r="M81">
        <v>0</v>
      </c>
      <c r="N81">
        <v>0</v>
      </c>
      <c r="O81">
        <v>0</v>
      </c>
      <c r="P81">
        <v>0</v>
      </c>
      <c r="Q81">
        <v>1474.8335999999999</v>
      </c>
      <c r="R81">
        <v>1474.8335999999999</v>
      </c>
      <c r="S81">
        <v>2713.7895751799997</v>
      </c>
    </row>
    <row r="82" spans="1:19" ht="15" x14ac:dyDescent="0.25">
      <c r="A82" t="s">
        <v>368</v>
      </c>
      <c r="C82" t="s">
        <v>22</v>
      </c>
      <c r="D82" t="s">
        <v>116</v>
      </c>
      <c r="E82" t="s">
        <v>24</v>
      </c>
      <c r="F82" t="s">
        <v>35</v>
      </c>
      <c r="G82">
        <v>17435.498971153836</v>
      </c>
      <c r="H82">
        <v>0.17426466346153835</v>
      </c>
      <c r="I82">
        <v>0</v>
      </c>
      <c r="J82">
        <v>82.033269230769193</v>
      </c>
      <c r="K82">
        <v>166.27725000000001</v>
      </c>
      <c r="L82">
        <v>0.66510900000000006</v>
      </c>
      <c r="M82">
        <v>0</v>
      </c>
      <c r="N82">
        <v>0.99856103630251514</v>
      </c>
      <c r="O82">
        <v>0.99999999999982103</v>
      </c>
      <c r="P82">
        <v>0</v>
      </c>
      <c r="Q82">
        <v>127605.38627403599</v>
      </c>
      <c r="R82">
        <v>127605.38627403599</v>
      </c>
      <c r="S82">
        <v>129865.52642238597</v>
      </c>
    </row>
    <row r="83" spans="1:19" ht="15" x14ac:dyDescent="0.25">
      <c r="A83" t="s">
        <v>1592</v>
      </c>
      <c r="B83" t="s">
        <v>612</v>
      </c>
      <c r="C83" t="s">
        <v>22</v>
      </c>
      <c r="D83" t="s">
        <v>33</v>
      </c>
      <c r="E83" t="s">
        <v>34</v>
      </c>
      <c r="F83" t="s">
        <v>35</v>
      </c>
      <c r="G83">
        <v>272.87752600600942</v>
      </c>
      <c r="H83">
        <v>0.45715056490384592</v>
      </c>
      <c r="I83">
        <v>748.85616346153802</v>
      </c>
      <c r="J83">
        <v>838.71890307692263</v>
      </c>
      <c r="K83">
        <v>116.8772724</v>
      </c>
      <c r="L83">
        <v>0.46750908959999998</v>
      </c>
      <c r="M83">
        <v>0</v>
      </c>
      <c r="N83">
        <v>0.42867388518401917</v>
      </c>
      <c r="O83">
        <v>0.98899715895726947</v>
      </c>
      <c r="P83">
        <v>0</v>
      </c>
      <c r="Q83">
        <v>4041.9736253838146</v>
      </c>
      <c r="R83">
        <v>4041.9736253838146</v>
      </c>
      <c r="S83">
        <v>5630.6396382080547</v>
      </c>
    </row>
    <row r="84" spans="1:19" ht="15" x14ac:dyDescent="0.25">
      <c r="A84" t="s">
        <v>1593</v>
      </c>
      <c r="B84" t="s">
        <v>1483</v>
      </c>
      <c r="C84" t="s">
        <v>22</v>
      </c>
      <c r="D84" t="s">
        <v>62</v>
      </c>
      <c r="E84" t="s">
        <v>34</v>
      </c>
      <c r="F84" t="s">
        <v>35</v>
      </c>
      <c r="G84">
        <v>641.76093137254929</v>
      </c>
      <c r="H84">
        <v>0.74256127450980436</v>
      </c>
      <c r="I84">
        <v>310.18382352941188</v>
      </c>
      <c r="J84">
        <v>3358.5294485294135</v>
      </c>
      <c r="K84">
        <v>131.70569732830188</v>
      </c>
      <c r="L84">
        <v>0.52682278931320758</v>
      </c>
      <c r="M84">
        <v>193.28400000000008</v>
      </c>
      <c r="N84">
        <v>0.13036925489547649</v>
      </c>
      <c r="O84">
        <v>0.85031529135272699</v>
      </c>
      <c r="P84">
        <v>62.487941176470621</v>
      </c>
      <c r="Q84">
        <v>9727.5842398933873</v>
      </c>
      <c r="R84">
        <v>9939.6995562169177</v>
      </c>
      <c r="S84">
        <v>11729.922417721595</v>
      </c>
    </row>
    <row r="85" spans="1:19" ht="15" x14ac:dyDescent="0.25">
      <c r="A85" t="s">
        <v>1594</v>
      </c>
      <c r="B85" t="s">
        <v>1481</v>
      </c>
      <c r="C85" t="s">
        <v>139</v>
      </c>
      <c r="D85" t="s">
        <v>23</v>
      </c>
      <c r="E85" t="s">
        <v>34</v>
      </c>
      <c r="F85" t="s">
        <v>35</v>
      </c>
      <c r="G85">
        <v>0</v>
      </c>
      <c r="H85">
        <v>0</v>
      </c>
      <c r="I85">
        <v>0</v>
      </c>
      <c r="J85">
        <v>0</v>
      </c>
      <c r="K85">
        <v>0</v>
      </c>
      <c r="L85">
        <v>0</v>
      </c>
      <c r="M85">
        <v>0</v>
      </c>
      <c r="N85">
        <v>0</v>
      </c>
      <c r="O85">
        <v>0</v>
      </c>
      <c r="P85">
        <v>0</v>
      </c>
      <c r="Q85">
        <v>0</v>
      </c>
      <c r="R85">
        <v>0</v>
      </c>
      <c r="S85">
        <v>0</v>
      </c>
    </row>
    <row r="86" spans="1:19" ht="15" x14ac:dyDescent="0.25">
      <c r="A86" t="s">
        <v>1595</v>
      </c>
      <c r="B86" t="s">
        <v>619</v>
      </c>
      <c r="C86" t="s">
        <v>22</v>
      </c>
      <c r="D86" t="s">
        <v>62</v>
      </c>
      <c r="E86" t="s">
        <v>34</v>
      </c>
      <c r="F86" t="s">
        <v>35</v>
      </c>
      <c r="G86">
        <v>164.10134191176479</v>
      </c>
      <c r="H86">
        <v>0.19738970588235305</v>
      </c>
      <c r="I86">
        <v>54.987132352941202</v>
      </c>
      <c r="J86">
        <v>2321.3029411764714</v>
      </c>
      <c r="K86">
        <v>51.502574999999993</v>
      </c>
      <c r="L86">
        <v>0.20601029999999998</v>
      </c>
      <c r="M86">
        <v>0</v>
      </c>
      <c r="N86">
        <v>0.13036925489547649</v>
      </c>
      <c r="O86">
        <v>0.85031529135272699</v>
      </c>
      <c r="P86">
        <v>16.666666666666664</v>
      </c>
      <c r="Q86">
        <v>3041.3281953676483</v>
      </c>
      <c r="R86">
        <v>3097.9031953676481</v>
      </c>
      <c r="S86">
        <v>3797.957096312648</v>
      </c>
    </row>
    <row r="87" spans="1:19" ht="15" x14ac:dyDescent="0.25">
      <c r="A87" t="s">
        <v>1596</v>
      </c>
      <c r="B87" t="s">
        <v>1484</v>
      </c>
      <c r="C87" t="s">
        <v>139</v>
      </c>
      <c r="D87" t="s">
        <v>23</v>
      </c>
      <c r="E87" t="s">
        <v>34</v>
      </c>
      <c r="F87" t="s">
        <v>35</v>
      </c>
      <c r="G87">
        <v>0</v>
      </c>
      <c r="H87">
        <v>0</v>
      </c>
      <c r="I87">
        <v>0</v>
      </c>
      <c r="J87">
        <v>0</v>
      </c>
      <c r="K87">
        <v>0</v>
      </c>
      <c r="L87">
        <v>0</v>
      </c>
      <c r="M87">
        <v>0</v>
      </c>
      <c r="N87">
        <v>0</v>
      </c>
      <c r="O87">
        <v>0</v>
      </c>
      <c r="P87">
        <v>0</v>
      </c>
      <c r="Q87">
        <v>0</v>
      </c>
      <c r="R87">
        <v>0</v>
      </c>
      <c r="S87">
        <v>0</v>
      </c>
    </row>
    <row r="88" spans="1:19" ht="15" x14ac:dyDescent="0.25">
      <c r="A88" t="s">
        <v>421</v>
      </c>
      <c r="C88" t="s">
        <v>22</v>
      </c>
      <c r="D88" t="s">
        <v>116</v>
      </c>
      <c r="E88" t="s">
        <v>24</v>
      </c>
      <c r="F88" t="s">
        <v>35</v>
      </c>
      <c r="G88">
        <v>28083.028235294132</v>
      </c>
      <c r="H88">
        <v>36.658088235294137</v>
      </c>
      <c r="I88">
        <v>0</v>
      </c>
      <c r="J88">
        <v>2.3686764705882366</v>
      </c>
      <c r="K88">
        <v>30.552</v>
      </c>
      <c r="L88">
        <v>0.122208</v>
      </c>
      <c r="M88">
        <v>0</v>
      </c>
      <c r="N88">
        <v>0.99856103630251514</v>
      </c>
      <c r="O88">
        <v>0.99999999999982103</v>
      </c>
      <c r="P88">
        <v>3243.2857142857142</v>
      </c>
      <c r="Q88">
        <v>262676.28197142656</v>
      </c>
      <c r="R88">
        <v>273685.61532856943</v>
      </c>
      <c r="S88">
        <v>274100.89644376945</v>
      </c>
    </row>
    <row r="89" spans="1:19" ht="15" x14ac:dyDescent="0.25">
      <c r="A89" t="s">
        <v>1392</v>
      </c>
      <c r="B89" t="s">
        <v>640</v>
      </c>
      <c r="C89" t="s">
        <v>46</v>
      </c>
      <c r="D89" t="s">
        <v>1160</v>
      </c>
      <c r="E89" t="s">
        <v>34</v>
      </c>
      <c r="F89" t="s">
        <v>35</v>
      </c>
      <c r="G89">
        <v>33.966033966033955</v>
      </c>
      <c r="H89">
        <v>9.1908091908091891E-2</v>
      </c>
      <c r="I89">
        <v>67.932067932067923</v>
      </c>
      <c r="J89">
        <v>82.877122877122872</v>
      </c>
      <c r="K89">
        <v>9.9860139860139867</v>
      </c>
      <c r="L89">
        <v>3.9944055944055951E-2</v>
      </c>
      <c r="M89">
        <v>11.988011988011985</v>
      </c>
      <c r="N89">
        <v>0.36531583178309529</v>
      </c>
      <c r="O89">
        <v>0.98058007738717345</v>
      </c>
      <c r="P89">
        <v>24</v>
      </c>
      <c r="Q89">
        <v>605.08700899100882</v>
      </c>
      <c r="R89">
        <v>686.55500899100878</v>
      </c>
      <c r="S89">
        <v>822.29090269730261</v>
      </c>
    </row>
    <row r="90" spans="1:19" ht="15" x14ac:dyDescent="0.25">
      <c r="A90" t="s">
        <v>1597</v>
      </c>
      <c r="B90" t="s">
        <v>1485</v>
      </c>
      <c r="C90" t="s">
        <v>46</v>
      </c>
      <c r="D90" t="s">
        <v>165</v>
      </c>
      <c r="E90" t="s">
        <v>34</v>
      </c>
      <c r="F90" t="s">
        <v>35</v>
      </c>
      <c r="G90">
        <v>0</v>
      </c>
      <c r="H90">
        <v>0</v>
      </c>
      <c r="I90">
        <v>0</v>
      </c>
      <c r="J90">
        <v>0</v>
      </c>
      <c r="K90">
        <v>0</v>
      </c>
      <c r="L90">
        <v>0</v>
      </c>
      <c r="M90">
        <v>0</v>
      </c>
      <c r="N90">
        <v>0</v>
      </c>
      <c r="O90">
        <v>0</v>
      </c>
      <c r="P90">
        <v>0</v>
      </c>
      <c r="Q90">
        <v>0</v>
      </c>
      <c r="R90">
        <v>0</v>
      </c>
      <c r="S90">
        <v>0</v>
      </c>
    </row>
    <row r="91" spans="1:19" ht="15" x14ac:dyDescent="0.25">
      <c r="A91" t="s">
        <v>1598</v>
      </c>
      <c r="B91" t="s">
        <v>1501</v>
      </c>
      <c r="C91" t="s">
        <v>46</v>
      </c>
      <c r="D91" t="s">
        <v>1160</v>
      </c>
      <c r="E91" t="s">
        <v>34</v>
      </c>
      <c r="F91" t="s">
        <v>35</v>
      </c>
      <c r="G91">
        <v>427.05805309734507</v>
      </c>
      <c r="H91">
        <v>1.1734513274336282</v>
      </c>
      <c r="I91">
        <v>1110.8672566371681</v>
      </c>
      <c r="J91">
        <v>1244.1713274336282</v>
      </c>
      <c r="K91">
        <v>159</v>
      </c>
      <c r="L91">
        <v>0.63600000000000001</v>
      </c>
      <c r="M91">
        <v>815.99999999999989</v>
      </c>
      <c r="N91">
        <v>0</v>
      </c>
      <c r="O91">
        <v>0</v>
      </c>
      <c r="P91">
        <v>69.999999999999986</v>
      </c>
      <c r="Q91">
        <v>12894.47427553982</v>
      </c>
      <c r="R91">
        <v>13132.08927553982</v>
      </c>
      <c r="S91">
        <v>15293.312675539823</v>
      </c>
    </row>
    <row r="92" spans="1:19" ht="15" x14ac:dyDescent="0.25">
      <c r="A92" t="s">
        <v>1599</v>
      </c>
      <c r="B92" t="s">
        <v>1486</v>
      </c>
      <c r="C92" t="s">
        <v>46</v>
      </c>
      <c r="D92" t="s">
        <v>1160</v>
      </c>
      <c r="E92" t="s">
        <v>34</v>
      </c>
      <c r="F92" t="s">
        <v>35</v>
      </c>
      <c r="G92">
        <v>390.54166666666657</v>
      </c>
      <c r="H92">
        <v>0.65458333333333318</v>
      </c>
      <c r="I92">
        <v>176.16666666666663</v>
      </c>
      <c r="J92">
        <v>197.30666666666662</v>
      </c>
      <c r="K92">
        <v>71.894117647058806</v>
      </c>
      <c r="L92">
        <v>0.28757647058823521</v>
      </c>
      <c r="M92">
        <v>514.07999999999993</v>
      </c>
      <c r="N92">
        <v>6.9504831809797316E-3</v>
      </c>
      <c r="O92">
        <v>0.26941245763745342</v>
      </c>
      <c r="P92">
        <v>74.733749999999986</v>
      </c>
      <c r="Q92">
        <v>7946.5638348333314</v>
      </c>
      <c r="R92">
        <v>8200.2475492083322</v>
      </c>
      <c r="S92">
        <v>9177.4755327377425</v>
      </c>
    </row>
    <row r="93" spans="1:19" ht="15" x14ac:dyDescent="0.25">
      <c r="A93" t="s">
        <v>1393</v>
      </c>
      <c r="B93" t="s">
        <v>1487</v>
      </c>
      <c r="C93" t="s">
        <v>46</v>
      </c>
      <c r="D93" t="s">
        <v>165</v>
      </c>
      <c r="E93" t="s">
        <v>34</v>
      </c>
      <c r="F93" t="s">
        <v>35</v>
      </c>
      <c r="G93">
        <v>880.01227857142874</v>
      </c>
      <c r="H93">
        <v>2.2077599642857146</v>
      </c>
      <c r="I93">
        <v>257.73595000000006</v>
      </c>
      <c r="J93">
        <v>288.66426400000006</v>
      </c>
      <c r="K93">
        <v>255.75</v>
      </c>
      <c r="L93">
        <v>1.0230000000000001</v>
      </c>
      <c r="M93">
        <v>453.30048000000016</v>
      </c>
      <c r="N93">
        <v>1.1328900435157191E-2</v>
      </c>
      <c r="O93">
        <v>0.34561391668562541</v>
      </c>
      <c r="P93">
        <v>14.936880400000005</v>
      </c>
      <c r="Q93">
        <v>13664.346374963903</v>
      </c>
      <c r="R93">
        <v>13715.049615481703</v>
      </c>
      <c r="S93">
        <v>17191.357065481705</v>
      </c>
    </row>
    <row r="94" spans="1:19" ht="15" x14ac:dyDescent="0.25">
      <c r="A94" t="s">
        <v>1394</v>
      </c>
      <c r="B94" t="s">
        <v>648</v>
      </c>
      <c r="C94" t="s">
        <v>46</v>
      </c>
      <c r="D94" t="s">
        <v>1160</v>
      </c>
      <c r="E94" t="s">
        <v>34</v>
      </c>
      <c r="F94" t="s">
        <v>35</v>
      </c>
      <c r="G94">
        <v>350.15952848722981</v>
      </c>
      <c r="H94">
        <v>1.2954813359528485</v>
      </c>
      <c r="I94">
        <v>1963.8506876227896</v>
      </c>
      <c r="J94">
        <v>2199.5127701375245</v>
      </c>
      <c r="K94">
        <v>102.9469013752456</v>
      </c>
      <c r="L94">
        <v>0.41178760550098242</v>
      </c>
      <c r="M94">
        <v>2.4754420432220035</v>
      </c>
      <c r="N94">
        <v>0</v>
      </c>
      <c r="O94">
        <v>0</v>
      </c>
      <c r="P94">
        <v>0</v>
      </c>
      <c r="Q94">
        <v>8102.2043717092338</v>
      </c>
      <c r="R94">
        <v>8102.2043717092338</v>
      </c>
      <c r="S94">
        <v>9501.5204233423956</v>
      </c>
    </row>
    <row r="95" spans="1:19" ht="15" x14ac:dyDescent="0.25">
      <c r="A95" t="s">
        <v>1600</v>
      </c>
      <c r="B95" t="s">
        <v>1488</v>
      </c>
      <c r="C95" t="s">
        <v>66</v>
      </c>
      <c r="D95" t="s">
        <v>23</v>
      </c>
      <c r="E95" t="s">
        <v>34</v>
      </c>
      <c r="F95" t="s">
        <v>35</v>
      </c>
      <c r="G95">
        <v>7.29</v>
      </c>
      <c r="H95">
        <v>1.41E-2</v>
      </c>
      <c r="I95">
        <v>0</v>
      </c>
      <c r="J95">
        <v>52.5</v>
      </c>
      <c r="K95">
        <v>10.044</v>
      </c>
      <c r="L95">
        <v>4.0176000000000003E-2</v>
      </c>
      <c r="M95">
        <v>0</v>
      </c>
      <c r="N95">
        <v>0</v>
      </c>
      <c r="O95">
        <v>0</v>
      </c>
      <c r="P95">
        <v>0</v>
      </c>
      <c r="Q95">
        <v>108.741165</v>
      </c>
      <c r="R95">
        <v>108.741165</v>
      </c>
      <c r="S95">
        <v>245.26523939999998</v>
      </c>
    </row>
    <row r="96" spans="1:19" ht="15" x14ac:dyDescent="0.25">
      <c r="A96" t="s">
        <v>967</v>
      </c>
      <c r="C96" t="s">
        <v>46</v>
      </c>
      <c r="D96" t="s">
        <v>101</v>
      </c>
      <c r="E96" t="s">
        <v>24</v>
      </c>
      <c r="F96" t="s">
        <v>35</v>
      </c>
      <c r="G96">
        <v>39.14</v>
      </c>
      <c r="H96">
        <v>5.0999999999999997E-2</v>
      </c>
      <c r="I96">
        <v>30</v>
      </c>
      <c r="J96">
        <v>33.6</v>
      </c>
      <c r="K96">
        <v>70.679999999999993</v>
      </c>
      <c r="L96">
        <v>0.28271999999999997</v>
      </c>
      <c r="M96">
        <v>0</v>
      </c>
      <c r="N96">
        <v>0.82656543762423806</v>
      </c>
      <c r="O96">
        <v>0.99995288212173872</v>
      </c>
      <c r="P96">
        <v>0</v>
      </c>
      <c r="Q96">
        <v>419.26600999999999</v>
      </c>
      <c r="R96">
        <v>419.26600999999999</v>
      </c>
      <c r="S96">
        <v>1379.9909779999998</v>
      </c>
    </row>
    <row r="97" spans="1:19" ht="15" x14ac:dyDescent="0.25">
      <c r="A97" t="s">
        <v>968</v>
      </c>
      <c r="C97" t="s">
        <v>22</v>
      </c>
      <c r="D97" t="s">
        <v>131</v>
      </c>
      <c r="E97" t="s">
        <v>34</v>
      </c>
      <c r="F97" t="s">
        <v>26</v>
      </c>
      <c r="G97">
        <v>0</v>
      </c>
      <c r="H97">
        <v>0</v>
      </c>
      <c r="I97">
        <v>0</v>
      </c>
      <c r="J97">
        <v>0</v>
      </c>
      <c r="K97">
        <v>60</v>
      </c>
      <c r="L97">
        <v>0.24</v>
      </c>
      <c r="M97">
        <v>0</v>
      </c>
      <c r="N97">
        <v>0.68458164233087504</v>
      </c>
      <c r="O97">
        <v>0.99936423844804079</v>
      </c>
      <c r="P97">
        <v>0</v>
      </c>
      <c r="Q97">
        <v>0</v>
      </c>
      <c r="R97">
        <v>0</v>
      </c>
      <c r="S97">
        <v>815.55599999999993</v>
      </c>
    </row>
    <row r="98" spans="1:19" ht="15" x14ac:dyDescent="0.25">
      <c r="A98" t="s">
        <v>1601</v>
      </c>
      <c r="B98" t="s">
        <v>1489</v>
      </c>
      <c r="C98" t="s">
        <v>22</v>
      </c>
      <c r="D98" t="s">
        <v>62</v>
      </c>
      <c r="E98" t="s">
        <v>34</v>
      </c>
      <c r="F98" t="s">
        <v>35</v>
      </c>
      <c r="G98">
        <v>0</v>
      </c>
      <c r="H98">
        <v>0</v>
      </c>
      <c r="I98">
        <v>0</v>
      </c>
      <c r="J98">
        <v>0</v>
      </c>
      <c r="K98">
        <v>0</v>
      </c>
      <c r="L98">
        <v>0</v>
      </c>
      <c r="M98">
        <v>0</v>
      </c>
      <c r="N98">
        <v>0.84841653942038608</v>
      </c>
      <c r="O98">
        <v>0.99997331497878439</v>
      </c>
      <c r="P98">
        <v>0</v>
      </c>
      <c r="Q98">
        <v>0</v>
      </c>
      <c r="R98">
        <v>0</v>
      </c>
      <c r="S98">
        <v>0</v>
      </c>
    </row>
    <row r="99" spans="1:19" ht="15" x14ac:dyDescent="0.25">
      <c r="A99" t="s">
        <v>971</v>
      </c>
      <c r="C99" t="s">
        <v>139</v>
      </c>
      <c r="D99" t="s">
        <v>23</v>
      </c>
      <c r="E99" t="s">
        <v>34</v>
      </c>
      <c r="F99" t="s">
        <v>35</v>
      </c>
      <c r="G99">
        <v>0</v>
      </c>
      <c r="H99">
        <v>0</v>
      </c>
      <c r="I99">
        <v>0</v>
      </c>
      <c r="J99">
        <v>0</v>
      </c>
      <c r="K99">
        <v>0</v>
      </c>
      <c r="L99">
        <v>0</v>
      </c>
      <c r="M99">
        <v>0</v>
      </c>
      <c r="N99">
        <v>0</v>
      </c>
      <c r="O99">
        <v>0</v>
      </c>
      <c r="P99">
        <v>0</v>
      </c>
      <c r="Q99">
        <v>0</v>
      </c>
      <c r="R99">
        <v>0</v>
      </c>
      <c r="S99">
        <v>0</v>
      </c>
    </row>
    <row r="100" spans="1:19" ht="15" x14ac:dyDescent="0.25">
      <c r="A100" t="s">
        <v>969</v>
      </c>
      <c r="C100" t="s">
        <v>70</v>
      </c>
      <c r="D100" t="s">
        <v>23</v>
      </c>
      <c r="E100" t="s">
        <v>34</v>
      </c>
      <c r="F100" t="s">
        <v>35</v>
      </c>
      <c r="G100">
        <v>1.6823333333333335</v>
      </c>
      <c r="H100">
        <v>3.3333333333333335E-3</v>
      </c>
      <c r="I100">
        <v>10.166666666666666</v>
      </c>
      <c r="J100">
        <v>11.386666666666667</v>
      </c>
      <c r="K100">
        <v>3.0380000000000003</v>
      </c>
      <c r="L100">
        <v>1.2152000000000001E-2</v>
      </c>
      <c r="M100">
        <v>0</v>
      </c>
      <c r="N100">
        <v>0</v>
      </c>
      <c r="O100">
        <v>0</v>
      </c>
      <c r="P100">
        <v>0</v>
      </c>
      <c r="Q100">
        <v>35.592172000000005</v>
      </c>
      <c r="R100">
        <v>35.592172000000005</v>
      </c>
      <c r="S100">
        <v>76.886490800000018</v>
      </c>
    </row>
    <row r="101" spans="1:19" ht="15" x14ac:dyDescent="0.25">
      <c r="A101" t="s">
        <v>1251</v>
      </c>
      <c r="B101" t="s">
        <v>1508</v>
      </c>
      <c r="C101" t="s">
        <v>46</v>
      </c>
      <c r="D101" t="s">
        <v>23</v>
      </c>
      <c r="E101" t="s">
        <v>34</v>
      </c>
      <c r="F101" t="s">
        <v>35</v>
      </c>
      <c r="G101">
        <v>0</v>
      </c>
      <c r="H101">
        <v>0</v>
      </c>
      <c r="I101">
        <v>0</v>
      </c>
      <c r="J101">
        <v>0</v>
      </c>
      <c r="K101">
        <v>0</v>
      </c>
      <c r="L101">
        <v>0</v>
      </c>
      <c r="M101">
        <v>0</v>
      </c>
      <c r="N101">
        <v>0</v>
      </c>
      <c r="O101">
        <v>0</v>
      </c>
      <c r="P101">
        <v>0.49315068493150682</v>
      </c>
      <c r="Q101">
        <v>0</v>
      </c>
      <c r="R101">
        <v>1.6740000000000002</v>
      </c>
      <c r="S101">
        <v>1.6740000000000002</v>
      </c>
    </row>
    <row r="102" spans="1:19" ht="15" x14ac:dyDescent="0.25">
      <c r="A102" t="s">
        <v>503</v>
      </c>
      <c r="C102" t="s">
        <v>46</v>
      </c>
      <c r="D102" t="s">
        <v>101</v>
      </c>
      <c r="E102" t="s">
        <v>34</v>
      </c>
      <c r="F102" t="s">
        <v>26</v>
      </c>
      <c r="G102">
        <v>1.4883500000000001</v>
      </c>
      <c r="H102">
        <v>3.3333333333333335E-3</v>
      </c>
      <c r="I102">
        <v>0</v>
      </c>
      <c r="J102">
        <v>0</v>
      </c>
      <c r="K102">
        <v>2.7683310000000003</v>
      </c>
      <c r="L102">
        <v>1.1073324000000001E-2</v>
      </c>
      <c r="M102">
        <v>0</v>
      </c>
      <c r="N102">
        <v>0.90450449912695874</v>
      </c>
      <c r="O102">
        <v>0.99999609737257122</v>
      </c>
      <c r="P102">
        <v>0</v>
      </c>
      <c r="Q102">
        <v>16.108788333333333</v>
      </c>
      <c r="R102">
        <v>16.108788333333333</v>
      </c>
      <c r="S102">
        <v>53.737604283933337</v>
      </c>
    </row>
    <row r="103" spans="1:19" ht="15" x14ac:dyDescent="0.25">
      <c r="A103" t="s">
        <v>505</v>
      </c>
      <c r="C103" t="s">
        <v>186</v>
      </c>
      <c r="D103" t="s">
        <v>131</v>
      </c>
      <c r="E103" t="s">
        <v>24</v>
      </c>
      <c r="F103" t="s">
        <v>26</v>
      </c>
      <c r="G103">
        <v>0</v>
      </c>
      <c r="H103">
        <v>0</v>
      </c>
      <c r="I103">
        <v>0</v>
      </c>
      <c r="J103">
        <v>0</v>
      </c>
      <c r="K103">
        <v>60</v>
      </c>
      <c r="L103">
        <v>0.24</v>
      </c>
      <c r="M103">
        <v>0</v>
      </c>
      <c r="N103">
        <v>0</v>
      </c>
      <c r="O103">
        <v>0</v>
      </c>
      <c r="P103">
        <v>0</v>
      </c>
      <c r="Q103">
        <v>0</v>
      </c>
      <c r="R103">
        <v>0</v>
      </c>
      <c r="S103">
        <v>815.55599999999993</v>
      </c>
    </row>
    <row r="104" spans="1:19" ht="15" x14ac:dyDescent="0.25">
      <c r="A104" t="s">
        <v>508</v>
      </c>
      <c r="C104" t="s">
        <v>186</v>
      </c>
      <c r="D104" t="s">
        <v>23</v>
      </c>
      <c r="E104" t="s">
        <v>34</v>
      </c>
      <c r="F104" t="s">
        <v>26</v>
      </c>
      <c r="G104">
        <v>50</v>
      </c>
      <c r="H104">
        <v>0.25</v>
      </c>
      <c r="I104">
        <v>0</v>
      </c>
      <c r="J104">
        <v>2500</v>
      </c>
      <c r="K104">
        <v>93</v>
      </c>
      <c r="L104">
        <v>0.372</v>
      </c>
      <c r="M104">
        <v>0</v>
      </c>
      <c r="N104">
        <v>0</v>
      </c>
      <c r="O104">
        <v>0</v>
      </c>
      <c r="P104">
        <v>0</v>
      </c>
      <c r="Q104">
        <v>2346.0374999999999</v>
      </c>
      <c r="R104">
        <v>2346.0374999999999</v>
      </c>
      <c r="S104">
        <v>3610.1493</v>
      </c>
    </row>
    <row r="105" spans="1:19" ht="15" x14ac:dyDescent="0.25">
      <c r="A105" t="s">
        <v>509</v>
      </c>
      <c r="C105" t="s">
        <v>186</v>
      </c>
      <c r="D105" t="s">
        <v>23</v>
      </c>
      <c r="E105" t="s">
        <v>34</v>
      </c>
      <c r="F105" t="s">
        <v>26</v>
      </c>
      <c r="G105">
        <v>91</v>
      </c>
      <c r="H105">
        <v>0.3</v>
      </c>
      <c r="I105">
        <v>0</v>
      </c>
      <c r="J105">
        <v>2880</v>
      </c>
      <c r="K105">
        <v>169.26</v>
      </c>
      <c r="L105">
        <v>0.67703999999999998</v>
      </c>
      <c r="M105">
        <v>0</v>
      </c>
      <c r="N105">
        <v>0</v>
      </c>
      <c r="O105">
        <v>0</v>
      </c>
      <c r="P105">
        <v>0</v>
      </c>
      <c r="Q105">
        <v>2965.3329999999996</v>
      </c>
      <c r="R105">
        <v>2965.3329999999996</v>
      </c>
      <c r="S105">
        <v>5266.0164759999998</v>
      </c>
    </row>
    <row r="106" spans="1:19" ht="15" x14ac:dyDescent="0.25">
      <c r="A106" t="s">
        <v>511</v>
      </c>
      <c r="C106" t="s">
        <v>46</v>
      </c>
      <c r="D106" t="s">
        <v>23</v>
      </c>
      <c r="E106" t="s">
        <v>34</v>
      </c>
      <c r="F106" t="s">
        <v>26</v>
      </c>
      <c r="G106">
        <v>54</v>
      </c>
      <c r="H106">
        <v>0</v>
      </c>
      <c r="I106">
        <v>0</v>
      </c>
      <c r="J106">
        <v>1920</v>
      </c>
      <c r="K106">
        <v>100.44</v>
      </c>
      <c r="L106">
        <v>0.40176000000000001</v>
      </c>
      <c r="M106">
        <v>0</v>
      </c>
      <c r="N106">
        <v>0</v>
      </c>
      <c r="O106">
        <v>0</v>
      </c>
      <c r="P106">
        <v>0</v>
      </c>
      <c r="Q106">
        <v>1613.5919999999999</v>
      </c>
      <c r="R106">
        <v>1613.5919999999999</v>
      </c>
      <c r="S106">
        <v>2978.8327439999998</v>
      </c>
    </row>
    <row r="107" spans="1:19" ht="15" x14ac:dyDescent="0.25">
      <c r="A107" t="s">
        <v>512</v>
      </c>
      <c r="C107" t="s">
        <v>139</v>
      </c>
      <c r="D107" t="s">
        <v>23</v>
      </c>
      <c r="E107" t="s">
        <v>34</v>
      </c>
      <c r="F107" t="s">
        <v>26</v>
      </c>
      <c r="G107">
        <v>117</v>
      </c>
      <c r="H107">
        <v>4.3600000000000003</v>
      </c>
      <c r="I107">
        <v>0</v>
      </c>
      <c r="J107">
        <v>297</v>
      </c>
      <c r="K107">
        <v>217.62</v>
      </c>
      <c r="L107">
        <v>0.87048000000000003</v>
      </c>
      <c r="M107">
        <v>0</v>
      </c>
      <c r="N107">
        <v>0</v>
      </c>
      <c r="O107">
        <v>0</v>
      </c>
      <c r="P107">
        <v>0</v>
      </c>
      <c r="Q107">
        <v>7901.658699999999</v>
      </c>
      <c r="R107">
        <v>7901.658699999999</v>
      </c>
      <c r="S107">
        <v>10859.680311999999</v>
      </c>
    </row>
    <row r="108" spans="1:19" ht="15" x14ac:dyDescent="0.25">
      <c r="A108" t="s">
        <v>517</v>
      </c>
      <c r="C108" t="s">
        <v>46</v>
      </c>
      <c r="D108" t="s">
        <v>23</v>
      </c>
      <c r="E108" t="s">
        <v>34</v>
      </c>
      <c r="F108" t="s">
        <v>26</v>
      </c>
      <c r="G108">
        <v>97.5</v>
      </c>
      <c r="H108">
        <v>1.41</v>
      </c>
      <c r="I108">
        <v>0</v>
      </c>
      <c r="J108">
        <v>165</v>
      </c>
      <c r="K108">
        <v>181.35000000000002</v>
      </c>
      <c r="L108">
        <v>0.72540000000000016</v>
      </c>
      <c r="M108">
        <v>0</v>
      </c>
      <c r="N108">
        <v>0</v>
      </c>
      <c r="O108">
        <v>0</v>
      </c>
      <c r="P108">
        <v>0</v>
      </c>
      <c r="Q108">
        <v>3034.683</v>
      </c>
      <c r="R108">
        <v>3034.683</v>
      </c>
      <c r="S108">
        <v>5499.7010099999998</v>
      </c>
    </row>
    <row r="109" spans="1:19" ht="15" x14ac:dyDescent="0.25">
      <c r="A109" t="s">
        <v>1021</v>
      </c>
      <c r="C109" t="s">
        <v>46</v>
      </c>
      <c r="D109" t="s">
        <v>23</v>
      </c>
      <c r="E109" t="s">
        <v>34</v>
      </c>
      <c r="F109" t="s">
        <v>26</v>
      </c>
      <c r="G109">
        <v>0</v>
      </c>
      <c r="H109">
        <v>0</v>
      </c>
      <c r="I109">
        <v>0</v>
      </c>
      <c r="J109">
        <v>0</v>
      </c>
      <c r="K109">
        <v>0</v>
      </c>
      <c r="L109">
        <v>0</v>
      </c>
      <c r="M109">
        <v>0</v>
      </c>
      <c r="N109">
        <v>0</v>
      </c>
      <c r="O109">
        <v>0</v>
      </c>
      <c r="P109">
        <v>0</v>
      </c>
      <c r="Q109">
        <v>0</v>
      </c>
      <c r="R109">
        <v>0</v>
      </c>
      <c r="S109">
        <v>0</v>
      </c>
    </row>
    <row r="110" spans="1:19" ht="15" x14ac:dyDescent="0.25">
      <c r="A110" t="s">
        <v>520</v>
      </c>
      <c r="C110" t="s">
        <v>46</v>
      </c>
      <c r="D110" t="s">
        <v>23</v>
      </c>
      <c r="E110" t="s">
        <v>34</v>
      </c>
      <c r="F110" t="s">
        <v>26</v>
      </c>
      <c r="G110">
        <v>130</v>
      </c>
      <c r="H110">
        <v>0.75</v>
      </c>
      <c r="I110">
        <v>0</v>
      </c>
      <c r="J110">
        <v>2400</v>
      </c>
      <c r="K110">
        <v>241.79999999999998</v>
      </c>
      <c r="L110">
        <v>0.96719999999999995</v>
      </c>
      <c r="M110">
        <v>0</v>
      </c>
      <c r="N110">
        <v>0</v>
      </c>
      <c r="O110">
        <v>0</v>
      </c>
      <c r="P110">
        <v>0</v>
      </c>
      <c r="Q110">
        <v>3653.1025</v>
      </c>
      <c r="R110">
        <v>3653.1025</v>
      </c>
      <c r="S110">
        <v>6939.7931799999997</v>
      </c>
    </row>
    <row r="111" spans="1:19" ht="15" x14ac:dyDescent="0.25">
      <c r="A111" t="s">
        <v>521</v>
      </c>
      <c r="C111" t="s">
        <v>46</v>
      </c>
      <c r="D111" t="s">
        <v>23</v>
      </c>
      <c r="E111" t="s">
        <v>34</v>
      </c>
      <c r="F111" t="s">
        <v>26</v>
      </c>
      <c r="G111">
        <v>78</v>
      </c>
      <c r="H111">
        <v>0.75</v>
      </c>
      <c r="I111">
        <v>0</v>
      </c>
      <c r="J111">
        <v>2500</v>
      </c>
      <c r="K111">
        <v>145.07999999999998</v>
      </c>
      <c r="L111">
        <v>0.58031999999999995</v>
      </c>
      <c r="M111">
        <v>0</v>
      </c>
      <c r="N111">
        <v>0</v>
      </c>
      <c r="O111">
        <v>0</v>
      </c>
      <c r="P111">
        <v>0</v>
      </c>
      <c r="Q111">
        <v>3337.0124999999998</v>
      </c>
      <c r="R111">
        <v>3337.0124999999998</v>
      </c>
      <c r="S111">
        <v>5309.0269079999989</v>
      </c>
    </row>
    <row r="112" spans="1:19" ht="15" x14ac:dyDescent="0.25">
      <c r="A112" t="s">
        <v>522</v>
      </c>
      <c r="C112" t="s">
        <v>139</v>
      </c>
      <c r="D112" t="s">
        <v>131</v>
      </c>
      <c r="E112" t="s">
        <v>34</v>
      </c>
      <c r="F112" t="s">
        <v>26</v>
      </c>
      <c r="G112">
        <v>1050.3125</v>
      </c>
      <c r="H112">
        <v>1.6804999999999999</v>
      </c>
      <c r="I112">
        <v>0</v>
      </c>
      <c r="J112">
        <v>6427.9125000000004</v>
      </c>
      <c r="K112">
        <v>60</v>
      </c>
      <c r="L112">
        <v>0.24</v>
      </c>
      <c r="M112">
        <v>0</v>
      </c>
      <c r="N112">
        <v>0</v>
      </c>
      <c r="O112">
        <v>0</v>
      </c>
      <c r="P112">
        <v>0</v>
      </c>
      <c r="Q112">
        <v>14393.327053750001</v>
      </c>
      <c r="R112">
        <v>14393.327053750001</v>
      </c>
      <c r="S112">
        <v>15208.883053750002</v>
      </c>
    </row>
    <row r="113" spans="1:19" ht="15" x14ac:dyDescent="0.25">
      <c r="A113" t="s">
        <v>2025</v>
      </c>
      <c r="C113" t="s">
        <v>186</v>
      </c>
      <c r="D113" t="s">
        <v>131</v>
      </c>
      <c r="E113" t="s">
        <v>24</v>
      </c>
      <c r="F113" t="s">
        <v>26</v>
      </c>
      <c r="G113">
        <v>130</v>
      </c>
      <c r="H113">
        <v>0.54</v>
      </c>
      <c r="I113">
        <v>0</v>
      </c>
      <c r="J113">
        <v>0</v>
      </c>
      <c r="K113">
        <v>60</v>
      </c>
      <c r="L113">
        <v>0.24</v>
      </c>
      <c r="M113">
        <v>0</v>
      </c>
      <c r="N113">
        <v>0</v>
      </c>
      <c r="O113">
        <v>0</v>
      </c>
      <c r="P113">
        <v>0</v>
      </c>
      <c r="Q113">
        <v>1798.501</v>
      </c>
      <c r="R113">
        <v>1798.501</v>
      </c>
      <c r="S113">
        <v>2614.0570000000002</v>
      </c>
    </row>
    <row r="114" spans="1:19" ht="15" x14ac:dyDescent="0.25">
      <c r="A114" t="s">
        <v>527</v>
      </c>
      <c r="C114" t="s">
        <v>528</v>
      </c>
      <c r="D114" t="s">
        <v>23</v>
      </c>
      <c r="E114" t="s">
        <v>34</v>
      </c>
      <c r="F114" t="s">
        <v>35</v>
      </c>
      <c r="G114">
        <v>390</v>
      </c>
      <c r="H114">
        <v>1</v>
      </c>
      <c r="I114">
        <v>0</v>
      </c>
      <c r="J114">
        <v>0</v>
      </c>
      <c r="K114">
        <v>558</v>
      </c>
      <c r="L114">
        <v>2.2320000000000002</v>
      </c>
      <c r="M114">
        <v>0</v>
      </c>
      <c r="N114">
        <v>0</v>
      </c>
      <c r="O114">
        <v>0</v>
      </c>
      <c r="P114">
        <v>0</v>
      </c>
      <c r="Q114">
        <v>4420.1499999999996</v>
      </c>
      <c r="R114">
        <v>4420.1499999999996</v>
      </c>
      <c r="S114">
        <v>12004.8208</v>
      </c>
    </row>
    <row r="115" spans="1:19" ht="15" x14ac:dyDescent="0.25">
      <c r="A115" t="s">
        <v>529</v>
      </c>
      <c r="C115" t="s">
        <v>528</v>
      </c>
      <c r="D115" t="s">
        <v>131</v>
      </c>
      <c r="E115" t="s">
        <v>34</v>
      </c>
      <c r="F115" t="s">
        <v>26</v>
      </c>
      <c r="G115">
        <v>12.15</v>
      </c>
      <c r="H115">
        <v>0.1</v>
      </c>
      <c r="I115">
        <v>0</v>
      </c>
      <c r="J115">
        <v>0</v>
      </c>
      <c r="K115">
        <v>60</v>
      </c>
      <c r="L115">
        <v>0.24</v>
      </c>
      <c r="M115">
        <v>0</v>
      </c>
      <c r="N115">
        <v>0</v>
      </c>
      <c r="O115">
        <v>0</v>
      </c>
      <c r="P115">
        <v>0</v>
      </c>
      <c r="Q115">
        <v>246.01000000000002</v>
      </c>
      <c r="R115">
        <v>246.01000000000002</v>
      </c>
      <c r="S115">
        <v>1061.566</v>
      </c>
    </row>
    <row r="116" spans="1:19" ht="15" x14ac:dyDescent="0.25">
      <c r="A116" t="s">
        <v>538</v>
      </c>
      <c r="C116" t="s">
        <v>66</v>
      </c>
      <c r="D116" t="s">
        <v>23</v>
      </c>
      <c r="E116" t="s">
        <v>34</v>
      </c>
      <c r="F116" t="s">
        <v>26</v>
      </c>
      <c r="G116">
        <v>0.94499999999999995</v>
      </c>
      <c r="H116">
        <v>4.2999999999999999E-4</v>
      </c>
      <c r="I116">
        <v>0</v>
      </c>
      <c r="J116">
        <v>0</v>
      </c>
      <c r="K116">
        <v>1.7576999999999998</v>
      </c>
      <c r="L116">
        <v>7.0307999999999994E-3</v>
      </c>
      <c r="M116">
        <v>0</v>
      </c>
      <c r="N116">
        <v>0</v>
      </c>
      <c r="O116">
        <v>0</v>
      </c>
      <c r="P116">
        <v>0</v>
      </c>
      <c r="Q116">
        <v>7.5749545000000005</v>
      </c>
      <c r="R116">
        <v>7.5749545000000005</v>
      </c>
      <c r="S116">
        <v>31.466667519999998</v>
      </c>
    </row>
    <row r="117" spans="1:19" ht="15" x14ac:dyDescent="0.25">
      <c r="A117" t="s">
        <v>539</v>
      </c>
      <c r="C117" t="s">
        <v>66</v>
      </c>
      <c r="D117" t="s">
        <v>23</v>
      </c>
      <c r="E117" t="s">
        <v>34</v>
      </c>
      <c r="F117" t="s">
        <v>35</v>
      </c>
      <c r="G117">
        <v>0</v>
      </c>
      <c r="H117">
        <v>0</v>
      </c>
      <c r="I117">
        <v>0</v>
      </c>
      <c r="J117">
        <v>0</v>
      </c>
      <c r="K117">
        <v>0</v>
      </c>
      <c r="L117">
        <v>0</v>
      </c>
      <c r="M117">
        <v>0</v>
      </c>
      <c r="N117">
        <v>0</v>
      </c>
      <c r="O117">
        <v>0</v>
      </c>
      <c r="P117">
        <v>0</v>
      </c>
      <c r="Q117">
        <v>0</v>
      </c>
      <c r="R117">
        <v>0</v>
      </c>
      <c r="S117">
        <v>0</v>
      </c>
    </row>
    <row r="118" spans="1:19" ht="15" x14ac:dyDescent="0.25">
      <c r="A118" t="s">
        <v>1602</v>
      </c>
      <c r="B118" t="s">
        <v>1490</v>
      </c>
      <c r="C118" t="s">
        <v>22</v>
      </c>
      <c r="D118" t="s">
        <v>62</v>
      </c>
      <c r="E118" t="s">
        <v>34</v>
      </c>
      <c r="F118" t="s">
        <v>35</v>
      </c>
      <c r="G118">
        <v>0</v>
      </c>
      <c r="H118">
        <v>0</v>
      </c>
      <c r="I118">
        <v>0</v>
      </c>
      <c r="J118">
        <v>0</v>
      </c>
      <c r="K118">
        <v>0</v>
      </c>
      <c r="L118">
        <v>0</v>
      </c>
      <c r="M118">
        <v>0</v>
      </c>
      <c r="N118">
        <v>0</v>
      </c>
      <c r="O118">
        <v>0</v>
      </c>
      <c r="P118">
        <v>0</v>
      </c>
      <c r="Q118">
        <v>0</v>
      </c>
      <c r="R118">
        <v>0</v>
      </c>
      <c r="S118">
        <v>0</v>
      </c>
    </row>
    <row r="119" spans="1:19" ht="15" x14ac:dyDescent="0.25">
      <c r="A119" t="s">
        <v>1603</v>
      </c>
      <c r="B119" t="s">
        <v>1491</v>
      </c>
      <c r="C119" t="s">
        <v>22</v>
      </c>
      <c r="D119" t="s">
        <v>62</v>
      </c>
      <c r="E119" t="s">
        <v>34</v>
      </c>
      <c r="F119" t="s">
        <v>35</v>
      </c>
      <c r="G119">
        <v>0</v>
      </c>
      <c r="H119">
        <v>0</v>
      </c>
      <c r="I119">
        <v>0</v>
      </c>
      <c r="J119">
        <v>0</v>
      </c>
      <c r="K119">
        <v>0</v>
      </c>
      <c r="L119">
        <v>0</v>
      </c>
      <c r="M119">
        <v>0</v>
      </c>
      <c r="N119">
        <v>0</v>
      </c>
      <c r="O119">
        <v>0</v>
      </c>
      <c r="P119">
        <v>0</v>
      </c>
      <c r="Q119">
        <v>0</v>
      </c>
      <c r="R119">
        <v>0</v>
      </c>
      <c r="S119">
        <v>0</v>
      </c>
    </row>
    <row r="120" spans="1:19" ht="15" x14ac:dyDescent="0.25">
      <c r="A120" t="s">
        <v>545</v>
      </c>
      <c r="C120" t="s">
        <v>66</v>
      </c>
      <c r="D120" t="s">
        <v>131</v>
      </c>
      <c r="E120" t="s">
        <v>24</v>
      </c>
      <c r="F120" t="s">
        <v>26</v>
      </c>
      <c r="G120">
        <v>16.335000000000001</v>
      </c>
      <c r="H120">
        <v>0</v>
      </c>
      <c r="I120">
        <v>0</v>
      </c>
      <c r="J120">
        <v>0</v>
      </c>
      <c r="K120">
        <v>60</v>
      </c>
      <c r="L120">
        <v>0.24</v>
      </c>
      <c r="M120">
        <v>0</v>
      </c>
      <c r="N120">
        <v>0</v>
      </c>
      <c r="O120">
        <v>0</v>
      </c>
      <c r="P120">
        <v>0</v>
      </c>
      <c r="Q120">
        <v>119.24550000000001</v>
      </c>
      <c r="R120">
        <v>119.24550000000001</v>
      </c>
      <c r="S120">
        <v>934.80150000000003</v>
      </c>
    </row>
    <row r="121" spans="1:19" ht="15" x14ac:dyDescent="0.25">
      <c r="A121" t="s">
        <v>1274</v>
      </c>
      <c r="B121" t="s">
        <v>1274</v>
      </c>
      <c r="C121" t="s">
        <v>46</v>
      </c>
      <c r="D121" t="s">
        <v>131</v>
      </c>
      <c r="E121" t="s">
        <v>24</v>
      </c>
      <c r="F121" t="s">
        <v>35</v>
      </c>
      <c r="G121">
        <v>96.693249400900839</v>
      </c>
      <c r="H121">
        <v>26.982045036207516</v>
      </c>
      <c r="I121">
        <v>0</v>
      </c>
      <c r="J121">
        <v>0</v>
      </c>
      <c r="K121">
        <v>60</v>
      </c>
      <c r="L121">
        <v>0.24</v>
      </c>
      <c r="M121">
        <v>14687999.999999998</v>
      </c>
      <c r="N121">
        <v>0.80007894711345862</v>
      </c>
      <c r="O121">
        <v>0.99991367118571051</v>
      </c>
      <c r="P121">
        <v>0</v>
      </c>
      <c r="Q121">
        <v>107265552.66486932</v>
      </c>
      <c r="R121">
        <v>107265552.66486932</v>
      </c>
      <c r="S121">
        <v>107266368.22086932</v>
      </c>
    </row>
    <row r="122" spans="1:19" ht="15" x14ac:dyDescent="0.25">
      <c r="A122" t="s">
        <v>966</v>
      </c>
      <c r="C122" t="s">
        <v>66</v>
      </c>
      <c r="D122" t="s">
        <v>131</v>
      </c>
      <c r="E122" t="s">
        <v>34</v>
      </c>
      <c r="F122" t="s">
        <v>26</v>
      </c>
      <c r="G122">
        <v>0</v>
      </c>
      <c r="H122">
        <v>1</v>
      </c>
      <c r="I122">
        <v>0</v>
      </c>
      <c r="J122">
        <v>0</v>
      </c>
      <c r="K122">
        <v>60</v>
      </c>
      <c r="L122">
        <v>0.24</v>
      </c>
      <c r="M122">
        <v>0</v>
      </c>
      <c r="N122">
        <v>0</v>
      </c>
      <c r="O122">
        <v>0</v>
      </c>
      <c r="P122">
        <v>0</v>
      </c>
      <c r="Q122">
        <v>1573.1499999999999</v>
      </c>
      <c r="R122">
        <v>1573.1499999999999</v>
      </c>
      <c r="S122">
        <v>2388.7060000000001</v>
      </c>
    </row>
    <row r="123" spans="1:19" ht="15" x14ac:dyDescent="0.25">
      <c r="A123" t="s">
        <v>2026</v>
      </c>
      <c r="C123" t="s">
        <v>70</v>
      </c>
      <c r="D123" t="s">
        <v>23</v>
      </c>
      <c r="E123" t="s">
        <v>34</v>
      </c>
      <c r="F123" t="s">
        <v>26</v>
      </c>
      <c r="G123">
        <v>312.85072222105276</v>
      </c>
      <c r="H123">
        <v>2.4031030285263171</v>
      </c>
      <c r="I123">
        <v>4165.1268304429104</v>
      </c>
      <c r="J123">
        <v>0</v>
      </c>
      <c r="K123">
        <v>581.90234333115814</v>
      </c>
      <c r="L123">
        <v>2.3276093733246328</v>
      </c>
      <c r="M123">
        <v>13198.054736842112</v>
      </c>
      <c r="N123">
        <v>0.98286844293884756</v>
      </c>
      <c r="O123">
        <v>0.99999999633594694</v>
      </c>
      <c r="P123">
        <v>0</v>
      </c>
      <c r="Q123">
        <v>106849.24355637333</v>
      </c>
      <c r="R123">
        <v>106849.24355637333</v>
      </c>
      <c r="S123">
        <v>114758.80934833642</v>
      </c>
    </row>
    <row r="124" spans="1:19" ht="15" x14ac:dyDescent="0.25">
      <c r="A124" t="s">
        <v>2027</v>
      </c>
      <c r="C124" t="s">
        <v>70</v>
      </c>
      <c r="D124" t="s">
        <v>23</v>
      </c>
      <c r="E124" t="s">
        <v>34</v>
      </c>
      <c r="F124" t="s">
        <v>26</v>
      </c>
      <c r="G124">
        <v>432.51125210526334</v>
      </c>
      <c r="H124">
        <v>0.65990273684210554</v>
      </c>
      <c r="I124">
        <v>0</v>
      </c>
      <c r="J124">
        <v>0</v>
      </c>
      <c r="K124">
        <v>101.277</v>
      </c>
      <c r="L124">
        <v>0.40510800000000002</v>
      </c>
      <c r="M124">
        <v>0</v>
      </c>
      <c r="N124">
        <v>0</v>
      </c>
      <c r="O124">
        <v>0</v>
      </c>
      <c r="P124">
        <v>0</v>
      </c>
      <c r="Q124">
        <v>4195.458130831581</v>
      </c>
      <c r="R124">
        <v>4195.458130831581</v>
      </c>
      <c r="S124">
        <v>5572.075881031581</v>
      </c>
    </row>
    <row r="125" spans="1:19" ht="15" x14ac:dyDescent="0.25">
      <c r="A125" t="s">
        <v>2028</v>
      </c>
      <c r="C125" t="s">
        <v>70</v>
      </c>
      <c r="D125" t="s">
        <v>23</v>
      </c>
      <c r="E125" t="s">
        <v>34</v>
      </c>
      <c r="F125" t="s">
        <v>26</v>
      </c>
      <c r="G125">
        <v>61.474889207368456</v>
      </c>
      <c r="H125">
        <v>4.326029052631581E-2</v>
      </c>
      <c r="I125">
        <v>0</v>
      </c>
      <c r="J125">
        <v>72.711505263157918</v>
      </c>
      <c r="K125">
        <v>114.34329392570532</v>
      </c>
      <c r="L125">
        <v>0.45737317570282132</v>
      </c>
      <c r="M125">
        <v>0</v>
      </c>
      <c r="N125">
        <v>0.6454806796320498</v>
      </c>
      <c r="O125">
        <v>0.99891912018138906</v>
      </c>
      <c r="P125">
        <v>0</v>
      </c>
      <c r="Q125">
        <v>563.00069424789501</v>
      </c>
      <c r="R125">
        <v>563.00069424789501</v>
      </c>
      <c r="S125">
        <v>2117.2233512624371</v>
      </c>
    </row>
    <row r="126" spans="1:19" ht="15" x14ac:dyDescent="0.25">
      <c r="A126" t="s">
        <v>558</v>
      </c>
      <c r="C126" t="s">
        <v>70</v>
      </c>
      <c r="D126" t="s">
        <v>101</v>
      </c>
      <c r="E126" t="s">
        <v>34</v>
      </c>
      <c r="F126" t="s">
        <v>26</v>
      </c>
      <c r="G126">
        <v>1.9888717500000002</v>
      </c>
      <c r="H126">
        <v>7.9319600000000001E-3</v>
      </c>
      <c r="I126">
        <v>0</v>
      </c>
      <c r="J126">
        <v>9.8029166666666681E-3</v>
      </c>
      <c r="K126">
        <v>3.6993014550000001</v>
      </c>
      <c r="L126">
        <v>1.4797205820000001E-2</v>
      </c>
      <c r="M126">
        <v>0</v>
      </c>
      <c r="N126">
        <v>0.68178562731546211</v>
      </c>
      <c r="O126">
        <v>0.99933846637620904</v>
      </c>
      <c r="P126">
        <v>0</v>
      </c>
      <c r="Q126">
        <v>27.003152481375004</v>
      </c>
      <c r="R126">
        <v>27.003152481375004</v>
      </c>
      <c r="S126">
        <v>77.28627743860801</v>
      </c>
    </row>
    <row r="127" spans="1:19" ht="15" x14ac:dyDescent="0.25">
      <c r="A127" t="s">
        <v>559</v>
      </c>
      <c r="C127" t="s">
        <v>70</v>
      </c>
      <c r="D127" t="s">
        <v>101</v>
      </c>
      <c r="E127" t="s">
        <v>34</v>
      </c>
      <c r="F127" t="s">
        <v>26</v>
      </c>
      <c r="G127">
        <v>0.85724999999999996</v>
      </c>
      <c r="H127">
        <v>5.6599999999999999E-4</v>
      </c>
      <c r="I127">
        <v>0</v>
      </c>
      <c r="J127">
        <v>1.575E-2</v>
      </c>
      <c r="K127">
        <v>1.5944849999999997</v>
      </c>
      <c r="L127">
        <v>6.3779399999999986E-3</v>
      </c>
      <c r="M127">
        <v>0</v>
      </c>
      <c r="N127">
        <v>0.98740795171960982</v>
      </c>
      <c r="O127">
        <v>0.9999999989364261</v>
      </c>
      <c r="P127">
        <v>0</v>
      </c>
      <c r="Q127">
        <v>7.1583307249999999</v>
      </c>
      <c r="R127">
        <v>7.1583307249999999</v>
      </c>
      <c r="S127">
        <v>28.831527535999992</v>
      </c>
    </row>
    <row r="128" spans="1:19" ht="15" x14ac:dyDescent="0.25">
      <c r="A128" t="s">
        <v>2029</v>
      </c>
      <c r="C128" t="s">
        <v>70</v>
      </c>
      <c r="D128" t="s">
        <v>23</v>
      </c>
      <c r="E128" t="s">
        <v>34</v>
      </c>
      <c r="F128" t="s">
        <v>26</v>
      </c>
      <c r="G128">
        <v>75.081655926315818</v>
      </c>
      <c r="H128">
        <v>0.35613362052631597</v>
      </c>
      <c r="I128">
        <v>28.326936000000014</v>
      </c>
      <c r="J128">
        <v>317.26168320000011</v>
      </c>
      <c r="K128">
        <v>139.65188002294741</v>
      </c>
      <c r="L128">
        <v>0.5586075200917896</v>
      </c>
      <c r="M128">
        <v>0</v>
      </c>
      <c r="N128">
        <v>0.89569081330094624</v>
      </c>
      <c r="O128">
        <v>0.99999438070700775</v>
      </c>
      <c r="P128">
        <v>0</v>
      </c>
      <c r="Q128">
        <v>1340.0314367821993</v>
      </c>
      <c r="R128">
        <v>1340.0314367821993</v>
      </c>
      <c r="S128">
        <v>3238.2635811821142</v>
      </c>
    </row>
    <row r="129" spans="1:19" ht="15" x14ac:dyDescent="0.25">
      <c r="A129" t="s">
        <v>562</v>
      </c>
      <c r="C129" t="s">
        <v>70</v>
      </c>
      <c r="D129" t="s">
        <v>101</v>
      </c>
      <c r="E129" t="s">
        <v>34</v>
      </c>
      <c r="F129" t="s">
        <v>26</v>
      </c>
      <c r="G129">
        <v>2.2409999999999997</v>
      </c>
      <c r="H129">
        <v>5.6999999999999998E-4</v>
      </c>
      <c r="I129">
        <v>0</v>
      </c>
      <c r="J129">
        <v>0.42</v>
      </c>
      <c r="K129">
        <v>4.1682600000000001</v>
      </c>
      <c r="L129">
        <v>1.667304E-2</v>
      </c>
      <c r="M129">
        <v>0</v>
      </c>
      <c r="N129">
        <v>0.98854610112817987</v>
      </c>
      <c r="O129">
        <v>0.99999999927289518</v>
      </c>
      <c r="P129">
        <v>0</v>
      </c>
      <c r="Q129">
        <v>17.522737499999995</v>
      </c>
      <c r="R129">
        <v>17.522737499999995</v>
      </c>
      <c r="S129">
        <v>74.180228376000002</v>
      </c>
    </row>
    <row r="130" spans="1:19" ht="15" x14ac:dyDescent="0.25">
      <c r="A130" t="s">
        <v>2030</v>
      </c>
      <c r="C130" t="s">
        <v>70</v>
      </c>
      <c r="D130" t="s">
        <v>23</v>
      </c>
      <c r="E130" t="s">
        <v>34</v>
      </c>
      <c r="F130" t="s">
        <v>26</v>
      </c>
      <c r="G130">
        <v>5.4499499999999994</v>
      </c>
      <c r="H130">
        <v>1.7274999999999999E-2</v>
      </c>
      <c r="I130">
        <v>0</v>
      </c>
      <c r="J130">
        <v>14</v>
      </c>
      <c r="K130">
        <v>10.136906999999999</v>
      </c>
      <c r="L130">
        <v>4.0547627999999995E-2</v>
      </c>
      <c r="M130">
        <v>0</v>
      </c>
      <c r="N130">
        <v>0.99389868905489187</v>
      </c>
      <c r="O130">
        <v>0.99999999994183408</v>
      </c>
      <c r="P130">
        <v>0</v>
      </c>
      <c r="Q130">
        <v>75.852201249999993</v>
      </c>
      <c r="R130">
        <v>75.852201249999993</v>
      </c>
      <c r="S130">
        <v>213.63912333819999</v>
      </c>
    </row>
    <row r="131" spans="1:19" ht="15" x14ac:dyDescent="0.25">
      <c r="A131" t="s">
        <v>567</v>
      </c>
      <c r="C131" t="s">
        <v>70</v>
      </c>
      <c r="D131" t="s">
        <v>23</v>
      </c>
      <c r="E131" t="s">
        <v>34</v>
      </c>
      <c r="F131" t="s">
        <v>26</v>
      </c>
      <c r="G131">
        <v>9.4759999999999991</v>
      </c>
      <c r="H131">
        <v>9.2999999999999992E-3</v>
      </c>
      <c r="I131">
        <v>0</v>
      </c>
      <c r="J131">
        <v>61.6</v>
      </c>
      <c r="K131">
        <v>17.111999999999998</v>
      </c>
      <c r="L131">
        <v>6.8447999999999995E-2</v>
      </c>
      <c r="M131">
        <v>0</v>
      </c>
      <c r="N131">
        <v>0.9576659729024658</v>
      </c>
      <c r="O131">
        <v>0.99999985908226541</v>
      </c>
      <c r="P131">
        <v>0</v>
      </c>
      <c r="Q131">
        <v>122.92725499999997</v>
      </c>
      <c r="R131">
        <v>122.92725499999997</v>
      </c>
      <c r="S131">
        <v>355.52382619999992</v>
      </c>
    </row>
    <row r="132" spans="1:19" ht="15" x14ac:dyDescent="0.25">
      <c r="A132" t="s">
        <v>1604</v>
      </c>
      <c r="B132" t="s">
        <v>568</v>
      </c>
      <c r="C132" t="s">
        <v>70</v>
      </c>
      <c r="D132" t="s">
        <v>23</v>
      </c>
      <c r="E132" t="s">
        <v>34</v>
      </c>
      <c r="F132" t="s">
        <v>35</v>
      </c>
      <c r="G132">
        <v>14.728999999999999</v>
      </c>
      <c r="H132">
        <v>1.9200000000000002E-2</v>
      </c>
      <c r="I132">
        <v>0</v>
      </c>
      <c r="J132">
        <v>68.319999999999993</v>
      </c>
      <c r="K132">
        <v>26.597999999999999</v>
      </c>
      <c r="L132">
        <v>0.106392</v>
      </c>
      <c r="M132">
        <v>0</v>
      </c>
      <c r="N132">
        <v>0</v>
      </c>
      <c r="O132">
        <v>0</v>
      </c>
      <c r="P132">
        <v>0</v>
      </c>
      <c r="Q132">
        <v>181.11621199999996</v>
      </c>
      <c r="R132">
        <v>181.11621199999996</v>
      </c>
      <c r="S132">
        <v>542.65218679999998</v>
      </c>
    </row>
    <row r="133" spans="1:19" ht="15" x14ac:dyDescent="0.25">
      <c r="A133" t="s">
        <v>572</v>
      </c>
      <c r="C133" t="s">
        <v>70</v>
      </c>
      <c r="D133" t="s">
        <v>23</v>
      </c>
      <c r="E133" t="s">
        <v>34</v>
      </c>
      <c r="F133" t="s">
        <v>26</v>
      </c>
      <c r="G133">
        <v>6.8849999999999998</v>
      </c>
      <c r="H133">
        <v>9.9000000000000008E-3</v>
      </c>
      <c r="I133">
        <v>0</v>
      </c>
      <c r="J133">
        <v>10.5</v>
      </c>
      <c r="K133">
        <v>9.4860000000000007</v>
      </c>
      <c r="L133">
        <v>3.7944000000000006E-2</v>
      </c>
      <c r="M133">
        <v>0</v>
      </c>
      <c r="N133">
        <v>0.91738546107641927</v>
      </c>
      <c r="O133">
        <v>0.99999784990528684</v>
      </c>
      <c r="P133">
        <v>0</v>
      </c>
      <c r="Q133">
        <v>72.503235000000004</v>
      </c>
      <c r="R133">
        <v>72.503235000000004</v>
      </c>
      <c r="S133">
        <v>201.44263860000001</v>
      </c>
    </row>
    <row r="134" spans="1:19" ht="15" x14ac:dyDescent="0.25">
      <c r="A134" t="s">
        <v>574</v>
      </c>
      <c r="C134" t="s">
        <v>70</v>
      </c>
      <c r="D134" t="s">
        <v>23</v>
      </c>
      <c r="E134" t="s">
        <v>34</v>
      </c>
      <c r="F134" t="s">
        <v>26</v>
      </c>
      <c r="G134">
        <v>34.155000000000001</v>
      </c>
      <c r="H134">
        <v>0.13020000000000001</v>
      </c>
      <c r="I134">
        <v>0</v>
      </c>
      <c r="J134">
        <v>297</v>
      </c>
      <c r="K134">
        <v>47.058</v>
      </c>
      <c r="L134">
        <v>0.18823200000000001</v>
      </c>
      <c r="M134">
        <v>0</v>
      </c>
      <c r="N134">
        <v>0.95771982694596791</v>
      </c>
      <c r="O134">
        <v>0.99999985980731232</v>
      </c>
      <c r="P134">
        <v>0</v>
      </c>
      <c r="Q134">
        <v>642.78032999999994</v>
      </c>
      <c r="R134">
        <v>642.78032999999994</v>
      </c>
      <c r="S134">
        <v>1282.4209007999998</v>
      </c>
    </row>
    <row r="135" spans="1:19" ht="15" x14ac:dyDescent="0.25">
      <c r="A135" t="s">
        <v>2031</v>
      </c>
      <c r="C135" t="s">
        <v>70</v>
      </c>
      <c r="D135" t="s">
        <v>23</v>
      </c>
      <c r="E135" t="s">
        <v>34</v>
      </c>
      <c r="F135" t="s">
        <v>26</v>
      </c>
      <c r="G135">
        <v>3.6740249999999999</v>
      </c>
      <c r="H135">
        <v>6.1215000000000002E-3</v>
      </c>
      <c r="I135">
        <v>0</v>
      </c>
      <c r="J135">
        <v>0</v>
      </c>
      <c r="K135">
        <v>6.8336865000000007</v>
      </c>
      <c r="L135">
        <v>2.7334746000000004E-2</v>
      </c>
      <c r="M135">
        <v>0</v>
      </c>
      <c r="N135">
        <v>0</v>
      </c>
      <c r="O135">
        <v>0</v>
      </c>
      <c r="P135">
        <v>0</v>
      </c>
      <c r="Q135">
        <v>36.450420225000002</v>
      </c>
      <c r="R135">
        <v>36.450420225000002</v>
      </c>
      <c r="S135">
        <v>129.3379873449</v>
      </c>
    </row>
    <row r="136" spans="1:19" ht="15" x14ac:dyDescent="0.25">
      <c r="A136" t="s">
        <v>81</v>
      </c>
      <c r="C136" t="s">
        <v>22</v>
      </c>
      <c r="D136" t="s">
        <v>23</v>
      </c>
      <c r="E136" t="s">
        <v>34</v>
      </c>
      <c r="F136" t="s">
        <v>26</v>
      </c>
      <c r="G136">
        <v>0</v>
      </c>
      <c r="H136">
        <v>0</v>
      </c>
      <c r="I136">
        <v>0</v>
      </c>
      <c r="J136">
        <v>0</v>
      </c>
      <c r="K136">
        <v>0</v>
      </c>
      <c r="L136">
        <v>0</v>
      </c>
      <c r="M136">
        <v>0</v>
      </c>
      <c r="N136">
        <v>0.8911878885041844</v>
      </c>
      <c r="O136">
        <v>0.99999330652801821</v>
      </c>
      <c r="P136">
        <v>0</v>
      </c>
      <c r="Q136">
        <v>0</v>
      </c>
      <c r="R136">
        <v>0</v>
      </c>
      <c r="S136">
        <v>0</v>
      </c>
    </row>
    <row r="137" spans="1:19" ht="15" x14ac:dyDescent="0.25">
      <c r="A137" t="s">
        <v>581</v>
      </c>
      <c r="C137" t="s">
        <v>22</v>
      </c>
      <c r="D137" t="s">
        <v>23</v>
      </c>
      <c r="E137" t="s">
        <v>34</v>
      </c>
      <c r="F137" t="s">
        <v>26</v>
      </c>
      <c r="G137">
        <v>30.381952555263176</v>
      </c>
      <c r="H137">
        <v>6.4890435789473705E-2</v>
      </c>
      <c r="I137">
        <v>0</v>
      </c>
      <c r="J137">
        <v>0</v>
      </c>
      <c r="K137">
        <v>56.510431752789508</v>
      </c>
      <c r="L137">
        <v>0.22604172701115804</v>
      </c>
      <c r="M137">
        <v>0</v>
      </c>
      <c r="N137">
        <v>0.82963417528882588</v>
      </c>
      <c r="O137">
        <v>0.99995631476438884</v>
      </c>
      <c r="P137">
        <v>0</v>
      </c>
      <c r="Q137">
        <v>323.87064271563173</v>
      </c>
      <c r="R137">
        <v>323.87064271563173</v>
      </c>
      <c r="S137">
        <v>1091.9943373585984</v>
      </c>
    </row>
    <row r="138" spans="1:19" ht="15" x14ac:dyDescent="0.25">
      <c r="A138" t="s">
        <v>583</v>
      </c>
      <c r="C138" t="s">
        <v>22</v>
      </c>
      <c r="D138" t="s">
        <v>23</v>
      </c>
      <c r="E138" t="s">
        <v>34</v>
      </c>
      <c r="F138" t="s">
        <v>26</v>
      </c>
      <c r="G138">
        <v>4.4550000000000001</v>
      </c>
      <c r="H138">
        <v>0</v>
      </c>
      <c r="I138">
        <v>0</v>
      </c>
      <c r="J138">
        <v>0</v>
      </c>
      <c r="K138">
        <v>8.2863000000000007</v>
      </c>
      <c r="L138">
        <v>3.3145200000000007E-2</v>
      </c>
      <c r="M138">
        <v>0</v>
      </c>
      <c r="N138">
        <v>0.9173593571621208</v>
      </c>
      <c r="O138">
        <v>0.99999784711462369</v>
      </c>
      <c r="P138">
        <v>0</v>
      </c>
      <c r="Q138">
        <v>32.521500000000003</v>
      </c>
      <c r="R138">
        <v>32.521500000000003</v>
      </c>
      <c r="S138">
        <v>145.15386138</v>
      </c>
    </row>
    <row r="139" spans="1:19" ht="15" x14ac:dyDescent="0.25">
      <c r="A139" t="s">
        <v>584</v>
      </c>
      <c r="C139" t="s">
        <v>22</v>
      </c>
      <c r="D139" t="s">
        <v>23</v>
      </c>
      <c r="E139" t="s">
        <v>34</v>
      </c>
      <c r="F139" t="s">
        <v>26</v>
      </c>
      <c r="G139">
        <v>0.13500000000000001</v>
      </c>
      <c r="H139">
        <v>0</v>
      </c>
      <c r="I139">
        <v>0</v>
      </c>
      <c r="J139">
        <v>0</v>
      </c>
      <c r="K139">
        <v>0.25110000000000005</v>
      </c>
      <c r="L139">
        <v>1.0044000000000001E-3</v>
      </c>
      <c r="M139">
        <v>0</v>
      </c>
      <c r="N139">
        <v>0.98570318412244295</v>
      </c>
      <c r="O139">
        <v>0.99999999822892538</v>
      </c>
      <c r="P139">
        <v>0</v>
      </c>
      <c r="Q139">
        <v>0.98550000000000004</v>
      </c>
      <c r="R139">
        <v>0.98550000000000004</v>
      </c>
      <c r="S139">
        <v>4.3986018600000003</v>
      </c>
    </row>
    <row r="140" spans="1:19" ht="15" x14ac:dyDescent="0.25">
      <c r="A140" t="s">
        <v>585</v>
      </c>
      <c r="C140" t="s">
        <v>22</v>
      </c>
      <c r="D140" t="s">
        <v>23</v>
      </c>
      <c r="E140" t="s">
        <v>34</v>
      </c>
      <c r="F140" t="s">
        <v>26</v>
      </c>
      <c r="G140">
        <v>3.645</v>
      </c>
      <c r="H140">
        <v>0</v>
      </c>
      <c r="I140">
        <v>0</v>
      </c>
      <c r="J140">
        <v>0</v>
      </c>
      <c r="K140">
        <v>6.7797000000000001</v>
      </c>
      <c r="L140">
        <v>2.7118800000000002E-2</v>
      </c>
      <c r="M140">
        <v>0</v>
      </c>
      <c r="N140">
        <v>0.9173593571621208</v>
      </c>
      <c r="O140">
        <v>0.99999784711462369</v>
      </c>
      <c r="P140">
        <v>0</v>
      </c>
      <c r="Q140">
        <v>26.608499999999999</v>
      </c>
      <c r="R140">
        <v>26.608499999999999</v>
      </c>
      <c r="S140">
        <v>118.76225022</v>
      </c>
    </row>
    <row r="141" spans="1:19" ht="15" x14ac:dyDescent="0.25">
      <c r="A141" t="s">
        <v>586</v>
      </c>
      <c r="C141" t="s">
        <v>22</v>
      </c>
      <c r="D141" t="s">
        <v>23</v>
      </c>
      <c r="E141" t="s">
        <v>34</v>
      </c>
      <c r="F141" t="s">
        <v>26</v>
      </c>
      <c r="G141">
        <v>0.27</v>
      </c>
      <c r="H141">
        <v>0</v>
      </c>
      <c r="I141">
        <v>0</v>
      </c>
      <c r="J141">
        <v>0</v>
      </c>
      <c r="K141">
        <v>0.50220000000000009</v>
      </c>
      <c r="L141">
        <v>2.0088000000000003E-3</v>
      </c>
      <c r="M141">
        <v>0</v>
      </c>
      <c r="N141">
        <v>0.86588774805920499</v>
      </c>
      <c r="O141">
        <v>0.99998402911185846</v>
      </c>
      <c r="P141">
        <v>0</v>
      </c>
      <c r="Q141">
        <v>1.9710000000000001</v>
      </c>
      <c r="R141">
        <v>1.9710000000000001</v>
      </c>
      <c r="S141">
        <v>8.7972037200000006</v>
      </c>
    </row>
    <row r="142" spans="1:19" ht="15" x14ac:dyDescent="0.25">
      <c r="A142" t="s">
        <v>587</v>
      </c>
      <c r="C142" t="s">
        <v>22</v>
      </c>
      <c r="D142" t="s">
        <v>23</v>
      </c>
      <c r="E142" t="s">
        <v>34</v>
      </c>
      <c r="F142" t="s">
        <v>26</v>
      </c>
      <c r="G142">
        <v>12.824999999999999</v>
      </c>
      <c r="H142">
        <v>0</v>
      </c>
      <c r="I142">
        <v>0</v>
      </c>
      <c r="J142">
        <v>0</v>
      </c>
      <c r="K142">
        <v>23.854499999999998</v>
      </c>
      <c r="L142">
        <v>9.5417999999999989E-2</v>
      </c>
      <c r="M142">
        <v>0</v>
      </c>
      <c r="N142">
        <v>0.80573530187347964</v>
      </c>
      <c r="O142">
        <v>0.99992364610504736</v>
      </c>
      <c r="P142">
        <v>0</v>
      </c>
      <c r="Q142">
        <v>93.622499999999988</v>
      </c>
      <c r="R142">
        <v>93.622499999999988</v>
      </c>
      <c r="S142">
        <v>417.8671766999999</v>
      </c>
    </row>
    <row r="143" spans="1:19" ht="15" x14ac:dyDescent="0.25">
      <c r="A143" t="s">
        <v>588</v>
      </c>
      <c r="C143" t="s">
        <v>22</v>
      </c>
      <c r="D143" t="s">
        <v>23</v>
      </c>
      <c r="E143" t="s">
        <v>34</v>
      </c>
      <c r="F143" t="s">
        <v>26</v>
      </c>
      <c r="G143">
        <v>1.35E-2</v>
      </c>
      <c r="H143">
        <v>0</v>
      </c>
      <c r="I143">
        <v>0</v>
      </c>
      <c r="J143">
        <v>0</v>
      </c>
      <c r="K143">
        <v>2.511E-2</v>
      </c>
      <c r="L143">
        <v>1.0044000000000001E-4</v>
      </c>
      <c r="M143">
        <v>0</v>
      </c>
      <c r="N143">
        <v>0.86588774805920499</v>
      </c>
      <c r="O143">
        <v>0.99998402911185846</v>
      </c>
      <c r="P143">
        <v>0</v>
      </c>
      <c r="Q143">
        <v>9.8549999999999999E-2</v>
      </c>
      <c r="R143">
        <v>9.8549999999999999E-2</v>
      </c>
      <c r="S143">
        <v>0.43986018599999999</v>
      </c>
    </row>
    <row r="144" spans="1:19" ht="15" x14ac:dyDescent="0.25">
      <c r="A144" t="s">
        <v>589</v>
      </c>
      <c r="C144" t="s">
        <v>22</v>
      </c>
      <c r="D144" t="s">
        <v>23</v>
      </c>
      <c r="E144" t="s">
        <v>34</v>
      </c>
      <c r="F144" t="s">
        <v>26</v>
      </c>
      <c r="G144">
        <v>31.860000000000003</v>
      </c>
      <c r="H144">
        <v>0</v>
      </c>
      <c r="I144">
        <v>0</v>
      </c>
      <c r="J144">
        <v>0</v>
      </c>
      <c r="K144">
        <v>59.259600000000006</v>
      </c>
      <c r="L144">
        <v>0.23703840000000004</v>
      </c>
      <c r="M144">
        <v>0</v>
      </c>
      <c r="N144">
        <v>0.82927786422589567</v>
      </c>
      <c r="O144">
        <v>0.99995592652435195</v>
      </c>
      <c r="P144">
        <v>0</v>
      </c>
      <c r="Q144">
        <v>232.578</v>
      </c>
      <c r="R144">
        <v>232.578</v>
      </c>
      <c r="S144">
        <v>1038.0700389600001</v>
      </c>
    </row>
    <row r="145" spans="1:19" ht="15" x14ac:dyDescent="0.25">
      <c r="A145" t="s">
        <v>590</v>
      </c>
      <c r="C145" t="s">
        <v>22</v>
      </c>
      <c r="D145" t="s">
        <v>23</v>
      </c>
      <c r="E145" t="s">
        <v>34</v>
      </c>
      <c r="F145" t="s">
        <v>26</v>
      </c>
      <c r="G145">
        <v>1.35E-2</v>
      </c>
      <c r="H145">
        <v>0</v>
      </c>
      <c r="I145">
        <v>0</v>
      </c>
      <c r="J145">
        <v>0</v>
      </c>
      <c r="K145">
        <v>2.511E-2</v>
      </c>
      <c r="L145">
        <v>1.0044000000000001E-4</v>
      </c>
      <c r="M145">
        <v>0</v>
      </c>
      <c r="N145">
        <v>0.86588774805920499</v>
      </c>
      <c r="O145">
        <v>0.99998402911185846</v>
      </c>
      <c r="P145">
        <v>0</v>
      </c>
      <c r="Q145">
        <v>9.8549999999999999E-2</v>
      </c>
      <c r="R145">
        <v>9.8549999999999999E-2</v>
      </c>
      <c r="S145">
        <v>0.43986018599999999</v>
      </c>
    </row>
    <row r="146" spans="1:19" ht="15" x14ac:dyDescent="0.25">
      <c r="A146" t="s">
        <v>591</v>
      </c>
      <c r="C146" t="s">
        <v>22</v>
      </c>
      <c r="D146" t="s">
        <v>23</v>
      </c>
      <c r="E146" t="s">
        <v>34</v>
      </c>
      <c r="F146" t="s">
        <v>26</v>
      </c>
      <c r="G146">
        <v>1.35E-2</v>
      </c>
      <c r="H146">
        <v>0</v>
      </c>
      <c r="I146">
        <v>0</v>
      </c>
      <c r="J146">
        <v>0</v>
      </c>
      <c r="K146">
        <v>2.511E-2</v>
      </c>
      <c r="L146">
        <v>1.0044000000000001E-4</v>
      </c>
      <c r="M146">
        <v>0</v>
      </c>
      <c r="N146">
        <v>0.91722726692541467</v>
      </c>
      <c r="O146">
        <v>0.99999783295098688</v>
      </c>
      <c r="P146">
        <v>0</v>
      </c>
      <c r="Q146">
        <v>9.8549999999999999E-2</v>
      </c>
      <c r="R146">
        <v>9.8549999999999999E-2</v>
      </c>
      <c r="S146">
        <v>0.43986018599999999</v>
      </c>
    </row>
    <row r="147" spans="1:19" ht="15" x14ac:dyDescent="0.25">
      <c r="A147" t="s">
        <v>592</v>
      </c>
      <c r="C147" t="s">
        <v>22</v>
      </c>
      <c r="D147" t="s">
        <v>23</v>
      </c>
      <c r="E147" t="s">
        <v>34</v>
      </c>
      <c r="F147" t="s">
        <v>26</v>
      </c>
      <c r="G147">
        <v>2.7</v>
      </c>
      <c r="H147">
        <v>0</v>
      </c>
      <c r="I147">
        <v>0</v>
      </c>
      <c r="J147">
        <v>0</v>
      </c>
      <c r="K147">
        <v>5.0220000000000002</v>
      </c>
      <c r="L147">
        <v>2.0088000000000002E-2</v>
      </c>
      <c r="M147">
        <v>0</v>
      </c>
      <c r="N147">
        <v>0.86588774805920499</v>
      </c>
      <c r="O147">
        <v>0.99998402911185846</v>
      </c>
      <c r="P147">
        <v>0</v>
      </c>
      <c r="Q147">
        <v>19.71</v>
      </c>
      <c r="R147">
        <v>19.71</v>
      </c>
      <c r="S147">
        <v>87.972037200000003</v>
      </c>
    </row>
    <row r="148" spans="1:19" ht="15" x14ac:dyDescent="0.25">
      <c r="A148" t="s">
        <v>593</v>
      </c>
      <c r="C148" t="s">
        <v>22</v>
      </c>
      <c r="D148" t="s">
        <v>33</v>
      </c>
      <c r="E148" t="s">
        <v>34</v>
      </c>
      <c r="F148" t="s">
        <v>26</v>
      </c>
      <c r="G148">
        <v>1.2284999999999999</v>
      </c>
      <c r="H148">
        <v>0</v>
      </c>
      <c r="I148">
        <v>0</v>
      </c>
      <c r="J148">
        <v>0</v>
      </c>
      <c r="K148">
        <v>2.9483999999999999</v>
      </c>
      <c r="L148">
        <v>1.17936E-2</v>
      </c>
      <c r="M148">
        <v>0</v>
      </c>
      <c r="N148">
        <v>0.99282585790381339</v>
      </c>
      <c r="O148">
        <v>0.99999999988866861</v>
      </c>
      <c r="P148">
        <v>0</v>
      </c>
      <c r="Q148">
        <v>8.9680499999999999</v>
      </c>
      <c r="R148">
        <v>8.9680499999999999</v>
      </c>
      <c r="S148">
        <v>49.044471839999993</v>
      </c>
    </row>
    <row r="149" spans="1:19" ht="15" x14ac:dyDescent="0.25">
      <c r="A149" t="s">
        <v>595</v>
      </c>
      <c r="C149" t="s">
        <v>22</v>
      </c>
      <c r="D149" t="s">
        <v>33</v>
      </c>
      <c r="E149" t="s">
        <v>34</v>
      </c>
      <c r="F149" t="s">
        <v>26</v>
      </c>
      <c r="G149">
        <v>9.18</v>
      </c>
      <c r="H149">
        <v>0</v>
      </c>
      <c r="I149">
        <v>0</v>
      </c>
      <c r="J149">
        <v>0</v>
      </c>
      <c r="K149">
        <v>22.032</v>
      </c>
      <c r="L149">
        <v>8.8127999999999998E-2</v>
      </c>
      <c r="M149">
        <v>0</v>
      </c>
      <c r="N149">
        <v>0.95771982694596791</v>
      </c>
      <c r="O149">
        <v>0.99999985980731232</v>
      </c>
      <c r="P149">
        <v>0</v>
      </c>
      <c r="Q149">
        <v>67.013999999999996</v>
      </c>
      <c r="R149">
        <v>67.013999999999996</v>
      </c>
      <c r="S149">
        <v>366.48616319999996</v>
      </c>
    </row>
    <row r="150" spans="1:19" ht="15" x14ac:dyDescent="0.25">
      <c r="A150" t="s">
        <v>596</v>
      </c>
      <c r="C150" t="s">
        <v>22</v>
      </c>
      <c r="D150" t="s">
        <v>33</v>
      </c>
      <c r="E150" t="s">
        <v>34</v>
      </c>
      <c r="F150" t="s">
        <v>26</v>
      </c>
      <c r="G150">
        <v>0.27</v>
      </c>
      <c r="H150">
        <v>0</v>
      </c>
      <c r="I150">
        <v>0</v>
      </c>
      <c r="J150">
        <v>0</v>
      </c>
      <c r="K150">
        <v>0.64800000000000013</v>
      </c>
      <c r="L150">
        <v>2.5920000000000006E-3</v>
      </c>
      <c r="M150">
        <v>0</v>
      </c>
      <c r="N150">
        <v>0.86588774805920499</v>
      </c>
      <c r="O150">
        <v>0.99998402911185846</v>
      </c>
      <c r="P150">
        <v>0</v>
      </c>
      <c r="Q150">
        <v>1.9710000000000001</v>
      </c>
      <c r="R150">
        <v>1.9710000000000001</v>
      </c>
      <c r="S150">
        <v>10.779004800000001</v>
      </c>
    </row>
    <row r="151" spans="1:19" ht="15" x14ac:dyDescent="0.25">
      <c r="A151" t="s">
        <v>597</v>
      </c>
      <c r="C151" t="s">
        <v>22</v>
      </c>
      <c r="D151" t="s">
        <v>33</v>
      </c>
      <c r="E151" t="s">
        <v>34</v>
      </c>
      <c r="F151" t="s">
        <v>26</v>
      </c>
      <c r="G151">
        <v>1.2284999999999999</v>
      </c>
      <c r="H151">
        <v>0</v>
      </c>
      <c r="I151">
        <v>0</v>
      </c>
      <c r="J151">
        <v>0</v>
      </c>
      <c r="K151">
        <v>2.9483999999999999</v>
      </c>
      <c r="L151">
        <v>1.17936E-2</v>
      </c>
      <c r="M151">
        <v>0</v>
      </c>
      <c r="N151">
        <v>0.98570318412244295</v>
      </c>
      <c r="O151">
        <v>0.99999999822892538</v>
      </c>
      <c r="P151">
        <v>0</v>
      </c>
      <c r="Q151">
        <v>8.9680499999999999</v>
      </c>
      <c r="R151">
        <v>8.9680499999999999</v>
      </c>
      <c r="S151">
        <v>49.044471839999993</v>
      </c>
    </row>
    <row r="152" spans="1:19" ht="15" x14ac:dyDescent="0.25">
      <c r="A152" t="s">
        <v>598</v>
      </c>
      <c r="C152" t="s">
        <v>22</v>
      </c>
      <c r="D152" t="s">
        <v>33</v>
      </c>
      <c r="E152" t="s">
        <v>34</v>
      </c>
      <c r="F152" t="s">
        <v>26</v>
      </c>
      <c r="G152">
        <v>0.27</v>
      </c>
      <c r="H152">
        <v>0</v>
      </c>
      <c r="I152">
        <v>0</v>
      </c>
      <c r="J152">
        <v>0</v>
      </c>
      <c r="K152">
        <v>0.64800000000000013</v>
      </c>
      <c r="L152">
        <v>2.5920000000000006E-3</v>
      </c>
      <c r="M152">
        <v>0</v>
      </c>
      <c r="N152">
        <v>0.96965397299376099</v>
      </c>
      <c r="O152">
        <v>0.99999996333997521</v>
      </c>
      <c r="P152">
        <v>0</v>
      </c>
      <c r="Q152">
        <v>1.9710000000000001</v>
      </c>
      <c r="R152">
        <v>1.9710000000000001</v>
      </c>
      <c r="S152">
        <v>10.779004800000001</v>
      </c>
    </row>
    <row r="153" spans="1:19" ht="15" x14ac:dyDescent="0.25">
      <c r="A153" t="s">
        <v>599</v>
      </c>
      <c r="C153" t="s">
        <v>22</v>
      </c>
      <c r="D153" t="s">
        <v>33</v>
      </c>
      <c r="E153" t="s">
        <v>34</v>
      </c>
      <c r="F153" t="s">
        <v>26</v>
      </c>
      <c r="G153">
        <v>2.8214999999999999</v>
      </c>
      <c r="H153">
        <v>0</v>
      </c>
      <c r="I153">
        <v>0</v>
      </c>
      <c r="J153">
        <v>0</v>
      </c>
      <c r="K153">
        <v>6.7716000000000003</v>
      </c>
      <c r="L153">
        <v>2.70864E-2</v>
      </c>
      <c r="M153">
        <v>0</v>
      </c>
      <c r="N153">
        <v>0.93053089581120574</v>
      </c>
      <c r="O153">
        <v>0.99999894285752178</v>
      </c>
      <c r="P153">
        <v>0</v>
      </c>
      <c r="Q153">
        <v>20.59695</v>
      </c>
      <c r="R153">
        <v>20.59695</v>
      </c>
      <c r="S153">
        <v>112.64060015999999</v>
      </c>
    </row>
    <row r="154" spans="1:19" ht="15" x14ac:dyDescent="0.25">
      <c r="A154" t="s">
        <v>600</v>
      </c>
      <c r="C154" t="s">
        <v>22</v>
      </c>
      <c r="D154" t="s">
        <v>33</v>
      </c>
      <c r="E154" t="s">
        <v>34</v>
      </c>
      <c r="F154" t="s">
        <v>26</v>
      </c>
      <c r="G154">
        <v>1.35</v>
      </c>
      <c r="H154">
        <v>0</v>
      </c>
      <c r="I154">
        <v>0</v>
      </c>
      <c r="J154">
        <v>0</v>
      </c>
      <c r="K154">
        <v>3.24</v>
      </c>
      <c r="L154">
        <v>1.2960000000000001E-2</v>
      </c>
      <c r="M154">
        <v>0</v>
      </c>
      <c r="N154">
        <v>0.86588774805920499</v>
      </c>
      <c r="O154">
        <v>0.99998402911185846</v>
      </c>
      <c r="P154">
        <v>0</v>
      </c>
      <c r="Q154">
        <v>9.8550000000000004</v>
      </c>
      <c r="R154">
        <v>9.8550000000000004</v>
      </c>
      <c r="S154">
        <v>53.895023999999999</v>
      </c>
    </row>
    <row r="155" spans="1:19" ht="15" x14ac:dyDescent="0.25">
      <c r="A155" t="s">
        <v>601</v>
      </c>
      <c r="C155" t="s">
        <v>22</v>
      </c>
      <c r="D155" t="s">
        <v>33</v>
      </c>
      <c r="E155" t="s">
        <v>34</v>
      </c>
      <c r="F155" t="s">
        <v>26</v>
      </c>
      <c r="G155">
        <v>7.9650000000000007</v>
      </c>
      <c r="H155">
        <v>0</v>
      </c>
      <c r="I155">
        <v>0</v>
      </c>
      <c r="J155">
        <v>0</v>
      </c>
      <c r="K155">
        <v>19.116000000000003</v>
      </c>
      <c r="L155">
        <v>7.6464000000000018E-2</v>
      </c>
      <c r="M155">
        <v>0</v>
      </c>
      <c r="N155">
        <v>0.86588774805920499</v>
      </c>
      <c r="O155">
        <v>0.99998402911185846</v>
      </c>
      <c r="P155">
        <v>0</v>
      </c>
      <c r="Q155">
        <v>58.144500000000001</v>
      </c>
      <c r="R155">
        <v>58.144500000000001</v>
      </c>
      <c r="S155">
        <v>317.98064160000001</v>
      </c>
    </row>
    <row r="156" spans="1:19" ht="15" x14ac:dyDescent="0.25">
      <c r="A156" t="s">
        <v>583</v>
      </c>
      <c r="C156" t="s">
        <v>22</v>
      </c>
      <c r="D156" t="s">
        <v>33</v>
      </c>
      <c r="E156" t="s">
        <v>34</v>
      </c>
      <c r="F156" t="s">
        <v>26</v>
      </c>
      <c r="G156">
        <v>4.4550000000000001</v>
      </c>
      <c r="H156">
        <v>0</v>
      </c>
      <c r="I156">
        <v>0</v>
      </c>
      <c r="J156">
        <v>0</v>
      </c>
      <c r="K156">
        <v>10.692</v>
      </c>
      <c r="L156">
        <v>4.2768E-2</v>
      </c>
      <c r="M156">
        <v>0</v>
      </c>
      <c r="N156">
        <v>0.94239336252499195</v>
      </c>
      <c r="O156">
        <v>0.99999950754579481</v>
      </c>
      <c r="P156">
        <v>0</v>
      </c>
      <c r="Q156">
        <v>32.521500000000003</v>
      </c>
      <c r="R156">
        <v>32.521500000000003</v>
      </c>
      <c r="S156">
        <v>177.85357919999998</v>
      </c>
    </row>
    <row r="157" spans="1:19" ht="15" x14ac:dyDescent="0.25">
      <c r="A157" t="s">
        <v>584</v>
      </c>
      <c r="C157" t="s">
        <v>22</v>
      </c>
      <c r="D157" t="s">
        <v>33</v>
      </c>
      <c r="E157" t="s">
        <v>34</v>
      </c>
      <c r="F157" t="s">
        <v>26</v>
      </c>
      <c r="G157">
        <v>0.27</v>
      </c>
      <c r="H157">
        <v>0</v>
      </c>
      <c r="I157">
        <v>0</v>
      </c>
      <c r="J157">
        <v>0</v>
      </c>
      <c r="K157">
        <v>0.64800000000000013</v>
      </c>
      <c r="L157">
        <v>2.5920000000000006E-3</v>
      </c>
      <c r="M157">
        <v>0</v>
      </c>
      <c r="N157">
        <v>0.98570318412244295</v>
      </c>
      <c r="O157">
        <v>0.99999999822892538</v>
      </c>
      <c r="P157">
        <v>0</v>
      </c>
      <c r="Q157">
        <v>1.9710000000000001</v>
      </c>
      <c r="R157">
        <v>1.9710000000000001</v>
      </c>
      <c r="S157">
        <v>10.779004800000001</v>
      </c>
    </row>
    <row r="158" spans="1:19" ht="15" x14ac:dyDescent="0.25">
      <c r="A158" t="s">
        <v>602</v>
      </c>
      <c r="C158" t="s">
        <v>22</v>
      </c>
      <c r="D158" t="s">
        <v>33</v>
      </c>
      <c r="E158" t="s">
        <v>34</v>
      </c>
      <c r="F158" t="s">
        <v>26</v>
      </c>
      <c r="G158">
        <v>0.80999999999999994</v>
      </c>
      <c r="H158">
        <v>0</v>
      </c>
      <c r="I158">
        <v>0</v>
      </c>
      <c r="J158">
        <v>0</v>
      </c>
      <c r="K158">
        <v>1.944</v>
      </c>
      <c r="L158">
        <v>7.7759999999999999E-3</v>
      </c>
      <c r="M158">
        <v>0</v>
      </c>
      <c r="N158">
        <v>0.86588774805920499</v>
      </c>
      <c r="O158">
        <v>0.99998402911185846</v>
      </c>
      <c r="P158">
        <v>0</v>
      </c>
      <c r="Q158">
        <v>5.9129999999999994</v>
      </c>
      <c r="R158">
        <v>5.9129999999999994</v>
      </c>
      <c r="S158">
        <v>32.337014400000001</v>
      </c>
    </row>
    <row r="159" spans="1:19" ht="15" x14ac:dyDescent="0.25">
      <c r="A159" t="s">
        <v>603</v>
      </c>
      <c r="C159" t="s">
        <v>22</v>
      </c>
      <c r="D159" t="s">
        <v>33</v>
      </c>
      <c r="E159" t="s">
        <v>34</v>
      </c>
      <c r="F159" t="s">
        <v>26</v>
      </c>
      <c r="G159">
        <v>1.8360000000000001</v>
      </c>
      <c r="H159">
        <v>0</v>
      </c>
      <c r="I159">
        <v>0</v>
      </c>
      <c r="J159">
        <v>0</v>
      </c>
      <c r="K159">
        <v>4.4064000000000005</v>
      </c>
      <c r="L159">
        <v>1.7625600000000002E-2</v>
      </c>
      <c r="M159">
        <v>0</v>
      </c>
      <c r="N159">
        <v>0.86588774805920499</v>
      </c>
      <c r="O159">
        <v>0.99998402911185846</v>
      </c>
      <c r="P159">
        <v>0</v>
      </c>
      <c r="Q159">
        <v>13.402800000000001</v>
      </c>
      <c r="R159">
        <v>13.402800000000001</v>
      </c>
      <c r="S159">
        <v>73.297232640000018</v>
      </c>
    </row>
    <row r="160" spans="1:19" ht="15" x14ac:dyDescent="0.25">
      <c r="A160" t="s">
        <v>586</v>
      </c>
      <c r="C160" t="s">
        <v>22</v>
      </c>
      <c r="D160" t="s">
        <v>33</v>
      </c>
      <c r="E160" t="s">
        <v>34</v>
      </c>
      <c r="F160" t="s">
        <v>26</v>
      </c>
      <c r="G160">
        <v>0.27</v>
      </c>
      <c r="H160">
        <v>0</v>
      </c>
      <c r="I160">
        <v>0</v>
      </c>
      <c r="J160">
        <v>0</v>
      </c>
      <c r="K160">
        <v>0.64800000000000013</v>
      </c>
      <c r="L160">
        <v>2.5920000000000006E-3</v>
      </c>
      <c r="M160">
        <v>0</v>
      </c>
      <c r="N160">
        <v>0.86588774805920499</v>
      </c>
      <c r="O160">
        <v>0.99998402911185846</v>
      </c>
      <c r="P160">
        <v>0</v>
      </c>
      <c r="Q160">
        <v>1.9710000000000001</v>
      </c>
      <c r="R160">
        <v>1.9710000000000001</v>
      </c>
      <c r="S160">
        <v>10.779004800000001</v>
      </c>
    </row>
    <row r="161" spans="1:19" ht="15" x14ac:dyDescent="0.25">
      <c r="A161" t="s">
        <v>590</v>
      </c>
      <c r="C161" t="s">
        <v>22</v>
      </c>
      <c r="D161" t="s">
        <v>33</v>
      </c>
      <c r="E161" t="s">
        <v>34</v>
      </c>
      <c r="F161" t="s">
        <v>26</v>
      </c>
      <c r="G161">
        <v>0.13500000000000001</v>
      </c>
      <c r="H161">
        <v>0</v>
      </c>
      <c r="I161">
        <v>0</v>
      </c>
      <c r="J161">
        <v>0</v>
      </c>
      <c r="K161">
        <v>0.32400000000000007</v>
      </c>
      <c r="L161">
        <v>1.2960000000000003E-3</v>
      </c>
      <c r="M161">
        <v>0</v>
      </c>
      <c r="N161">
        <v>0.86588774805920499</v>
      </c>
      <c r="O161">
        <v>0.99998402911185846</v>
      </c>
      <c r="P161">
        <v>0</v>
      </c>
      <c r="Q161">
        <v>0.98550000000000004</v>
      </c>
      <c r="R161">
        <v>0.98550000000000004</v>
      </c>
      <c r="S161">
        <v>5.3895024000000005</v>
      </c>
    </row>
    <row r="162" spans="1:19" ht="15" x14ac:dyDescent="0.25">
      <c r="A162" t="s">
        <v>592</v>
      </c>
      <c r="C162" t="s">
        <v>22</v>
      </c>
      <c r="D162" t="s">
        <v>33</v>
      </c>
      <c r="E162" t="s">
        <v>34</v>
      </c>
      <c r="F162" t="s">
        <v>26</v>
      </c>
      <c r="G162">
        <v>2.8214999999999999</v>
      </c>
      <c r="H162">
        <v>0</v>
      </c>
      <c r="I162">
        <v>0</v>
      </c>
      <c r="J162">
        <v>0</v>
      </c>
      <c r="K162">
        <v>6.7716000000000003</v>
      </c>
      <c r="L162">
        <v>2.70864E-2</v>
      </c>
      <c r="M162">
        <v>0</v>
      </c>
      <c r="N162">
        <v>0.86588774805920499</v>
      </c>
      <c r="O162">
        <v>0.99998402911185846</v>
      </c>
      <c r="P162">
        <v>0</v>
      </c>
      <c r="Q162">
        <v>20.59695</v>
      </c>
      <c r="R162">
        <v>20.59695</v>
      </c>
      <c r="S162">
        <v>112.64060015999999</v>
      </c>
    </row>
    <row r="163" spans="1:19" ht="15" x14ac:dyDescent="0.25">
      <c r="A163" t="s">
        <v>604</v>
      </c>
      <c r="C163" t="s">
        <v>22</v>
      </c>
      <c r="D163" t="s">
        <v>33</v>
      </c>
      <c r="E163" t="s">
        <v>34</v>
      </c>
      <c r="F163" t="s">
        <v>26</v>
      </c>
      <c r="G163">
        <v>2.7</v>
      </c>
      <c r="H163">
        <v>0</v>
      </c>
      <c r="I163">
        <v>0</v>
      </c>
      <c r="J163">
        <v>0</v>
      </c>
      <c r="K163">
        <v>6.48</v>
      </c>
      <c r="L163">
        <v>2.5920000000000002E-2</v>
      </c>
      <c r="M163">
        <v>0</v>
      </c>
      <c r="N163">
        <v>0.86588774805920499</v>
      </c>
      <c r="O163">
        <v>0.99998402911185846</v>
      </c>
      <c r="P163">
        <v>0</v>
      </c>
      <c r="Q163">
        <v>19.71</v>
      </c>
      <c r="R163">
        <v>19.71</v>
      </c>
      <c r="S163">
        <v>107.790048</v>
      </c>
    </row>
    <row r="164" spans="1:19" ht="15" x14ac:dyDescent="0.25">
      <c r="A164" t="s">
        <v>605</v>
      </c>
      <c r="C164" t="s">
        <v>22</v>
      </c>
      <c r="D164" t="s">
        <v>33</v>
      </c>
      <c r="E164" t="s">
        <v>34</v>
      </c>
      <c r="F164" t="s">
        <v>26</v>
      </c>
      <c r="G164">
        <v>0.3105</v>
      </c>
      <c r="H164">
        <v>0</v>
      </c>
      <c r="I164">
        <v>0</v>
      </c>
      <c r="J164">
        <v>0</v>
      </c>
      <c r="K164">
        <v>0.74520000000000008</v>
      </c>
      <c r="L164">
        <v>2.9808000000000005E-3</v>
      </c>
      <c r="M164">
        <v>0</v>
      </c>
      <c r="N164">
        <v>0.86588774805920499</v>
      </c>
      <c r="O164">
        <v>0.99998402911185846</v>
      </c>
      <c r="P164">
        <v>0</v>
      </c>
      <c r="Q164">
        <v>2.2666499999999998</v>
      </c>
      <c r="R164">
        <v>2.2666499999999998</v>
      </c>
      <c r="S164">
        <v>12.395855520000001</v>
      </c>
    </row>
    <row r="165" spans="1:19" ht="15" x14ac:dyDescent="0.25">
      <c r="A165" t="s">
        <v>606</v>
      </c>
      <c r="C165" t="s">
        <v>22</v>
      </c>
      <c r="D165" t="s">
        <v>33</v>
      </c>
      <c r="E165" t="s">
        <v>34</v>
      </c>
      <c r="F165" t="s">
        <v>26</v>
      </c>
      <c r="G165">
        <v>0.60750000000000004</v>
      </c>
      <c r="H165">
        <v>0</v>
      </c>
      <c r="I165">
        <v>0</v>
      </c>
      <c r="J165">
        <v>0</v>
      </c>
      <c r="K165">
        <v>1.4580000000000002</v>
      </c>
      <c r="L165">
        <v>5.8320000000000012E-3</v>
      </c>
      <c r="M165">
        <v>0</v>
      </c>
      <c r="N165">
        <v>0.86588774805920499</v>
      </c>
      <c r="O165">
        <v>0.99998402911185846</v>
      </c>
      <c r="P165">
        <v>0</v>
      </c>
      <c r="Q165">
        <v>4.4347500000000002</v>
      </c>
      <c r="R165">
        <v>4.4347500000000002</v>
      </c>
      <c r="S165">
        <v>24.252760800000004</v>
      </c>
    </row>
    <row r="166" spans="1:19" ht="15" x14ac:dyDescent="0.25">
      <c r="A166" t="s">
        <v>607</v>
      </c>
      <c r="C166" t="s">
        <v>22</v>
      </c>
      <c r="D166" t="s">
        <v>33</v>
      </c>
      <c r="E166" t="s">
        <v>34</v>
      </c>
      <c r="F166" t="s">
        <v>26</v>
      </c>
      <c r="G166">
        <v>1.8360000000000001</v>
      </c>
      <c r="H166">
        <v>0</v>
      </c>
      <c r="I166">
        <v>0</v>
      </c>
      <c r="J166">
        <v>0</v>
      </c>
      <c r="K166">
        <v>4.4064000000000005</v>
      </c>
      <c r="L166">
        <v>1.7625600000000002E-2</v>
      </c>
      <c r="M166">
        <v>0</v>
      </c>
      <c r="N166">
        <v>0.86588774805920499</v>
      </c>
      <c r="O166">
        <v>0.99998402911185846</v>
      </c>
      <c r="P166">
        <v>0</v>
      </c>
      <c r="Q166">
        <v>13.402800000000001</v>
      </c>
      <c r="R166">
        <v>13.402800000000001</v>
      </c>
      <c r="S166">
        <v>73.297232640000018</v>
      </c>
    </row>
    <row r="167" spans="1:19" ht="15" x14ac:dyDescent="0.25">
      <c r="A167" t="s">
        <v>608</v>
      </c>
      <c r="C167" t="s">
        <v>22</v>
      </c>
      <c r="D167" t="s">
        <v>33</v>
      </c>
      <c r="E167" t="s">
        <v>34</v>
      </c>
      <c r="F167" t="s">
        <v>26</v>
      </c>
      <c r="G167">
        <v>1.2284999999999999</v>
      </c>
      <c r="H167">
        <v>0</v>
      </c>
      <c r="I167">
        <v>0</v>
      </c>
      <c r="J167">
        <v>0</v>
      </c>
      <c r="K167">
        <v>2.9483999999999999</v>
      </c>
      <c r="L167">
        <v>1.17936E-2</v>
      </c>
      <c r="M167">
        <v>0</v>
      </c>
      <c r="N167">
        <v>0.86588774805920499</v>
      </c>
      <c r="O167">
        <v>0.99998402911185846</v>
      </c>
      <c r="P167">
        <v>0</v>
      </c>
      <c r="Q167">
        <v>8.9680499999999999</v>
      </c>
      <c r="R167">
        <v>8.9680499999999999</v>
      </c>
      <c r="S167">
        <v>49.044471839999993</v>
      </c>
    </row>
    <row r="168" spans="1:19" ht="15" x14ac:dyDescent="0.25">
      <c r="A168" t="s">
        <v>609</v>
      </c>
      <c r="C168" t="s">
        <v>22</v>
      </c>
      <c r="D168" t="s">
        <v>33</v>
      </c>
      <c r="E168" t="s">
        <v>34</v>
      </c>
      <c r="F168" t="s">
        <v>26</v>
      </c>
      <c r="G168">
        <v>1.8360000000000001</v>
      </c>
      <c r="H168">
        <v>0</v>
      </c>
      <c r="I168">
        <v>0</v>
      </c>
      <c r="J168">
        <v>0</v>
      </c>
      <c r="K168">
        <v>4.4064000000000005</v>
      </c>
      <c r="L168">
        <v>1.7625600000000002E-2</v>
      </c>
      <c r="M168">
        <v>0</v>
      </c>
      <c r="N168">
        <v>0.71496620724460425</v>
      </c>
      <c r="O168">
        <v>0.99959565199949074</v>
      </c>
      <c r="P168">
        <v>0</v>
      </c>
      <c r="Q168">
        <v>13.402800000000001</v>
      </c>
      <c r="R168">
        <v>13.402800000000001</v>
      </c>
      <c r="S168">
        <v>73.297232640000018</v>
      </c>
    </row>
    <row r="169" spans="1:19" ht="15" x14ac:dyDescent="0.25">
      <c r="A169" t="s">
        <v>610</v>
      </c>
      <c r="C169" t="s">
        <v>22</v>
      </c>
      <c r="D169" t="s">
        <v>33</v>
      </c>
      <c r="E169" t="s">
        <v>34</v>
      </c>
      <c r="F169" t="s">
        <v>26</v>
      </c>
      <c r="G169">
        <v>0.27</v>
      </c>
      <c r="H169">
        <v>0</v>
      </c>
      <c r="I169">
        <v>0</v>
      </c>
      <c r="J169">
        <v>0</v>
      </c>
      <c r="K169">
        <v>0.64800000000000013</v>
      </c>
      <c r="L169">
        <v>2.5920000000000006E-3</v>
      </c>
      <c r="M169">
        <v>0</v>
      </c>
      <c r="N169">
        <v>0</v>
      </c>
      <c r="O169">
        <v>0</v>
      </c>
      <c r="P169">
        <v>0</v>
      </c>
      <c r="Q169">
        <v>1.9710000000000001</v>
      </c>
      <c r="R169">
        <v>1.9710000000000001</v>
      </c>
      <c r="S169">
        <v>10.779004800000001</v>
      </c>
    </row>
    <row r="170" spans="1:19" ht="15" x14ac:dyDescent="0.25">
      <c r="A170" t="s">
        <v>611</v>
      </c>
      <c r="C170" t="s">
        <v>22</v>
      </c>
      <c r="D170" t="s">
        <v>33</v>
      </c>
      <c r="E170" t="s">
        <v>34</v>
      </c>
      <c r="F170" t="s">
        <v>26</v>
      </c>
      <c r="G170">
        <v>0</v>
      </c>
      <c r="H170">
        <v>0</v>
      </c>
      <c r="I170">
        <v>0</v>
      </c>
      <c r="J170">
        <v>0</v>
      </c>
      <c r="K170">
        <v>0</v>
      </c>
      <c r="L170">
        <v>0</v>
      </c>
      <c r="M170">
        <v>0</v>
      </c>
      <c r="N170">
        <v>0.82963417528882588</v>
      </c>
      <c r="O170">
        <v>0.99995631476438884</v>
      </c>
      <c r="P170">
        <v>0</v>
      </c>
      <c r="Q170">
        <v>0</v>
      </c>
      <c r="R170">
        <v>0</v>
      </c>
      <c r="S170">
        <v>0</v>
      </c>
    </row>
    <row r="171" spans="1:19" ht="15" x14ac:dyDescent="0.25">
      <c r="A171" t="s">
        <v>81</v>
      </c>
      <c r="C171" t="s">
        <v>22</v>
      </c>
      <c r="D171" t="s">
        <v>33</v>
      </c>
      <c r="E171" t="s">
        <v>34</v>
      </c>
      <c r="F171" t="s">
        <v>26</v>
      </c>
      <c r="G171">
        <v>7.56</v>
      </c>
      <c r="H171">
        <v>0</v>
      </c>
      <c r="I171">
        <v>0</v>
      </c>
      <c r="J171">
        <v>0</v>
      </c>
      <c r="K171">
        <v>18.143999999999998</v>
      </c>
      <c r="L171">
        <v>7.2576000000000002E-2</v>
      </c>
      <c r="M171">
        <v>0</v>
      </c>
      <c r="N171">
        <v>0.8911878885041844</v>
      </c>
      <c r="O171">
        <v>0.99999330652801821</v>
      </c>
      <c r="P171">
        <v>0</v>
      </c>
      <c r="Q171">
        <v>55.187999999999995</v>
      </c>
      <c r="R171">
        <v>55.187999999999995</v>
      </c>
      <c r="S171">
        <v>301.81213439999999</v>
      </c>
    </row>
    <row r="172" spans="1:19" ht="15" x14ac:dyDescent="0.25">
      <c r="A172" t="s">
        <v>614</v>
      </c>
      <c r="C172" t="s">
        <v>22</v>
      </c>
      <c r="D172" t="s">
        <v>33</v>
      </c>
      <c r="E172" t="s">
        <v>34</v>
      </c>
      <c r="F172" t="s">
        <v>26</v>
      </c>
      <c r="G172">
        <v>0</v>
      </c>
      <c r="H172">
        <v>0</v>
      </c>
      <c r="I172">
        <v>0</v>
      </c>
      <c r="J172">
        <v>0</v>
      </c>
      <c r="K172">
        <v>0</v>
      </c>
      <c r="L172">
        <v>0</v>
      </c>
      <c r="M172">
        <v>0</v>
      </c>
      <c r="N172">
        <v>0.51044111281980853</v>
      </c>
      <c r="O172">
        <v>0.99499292844029141</v>
      </c>
      <c r="P172">
        <v>0</v>
      </c>
      <c r="Q172">
        <v>0</v>
      </c>
      <c r="R172">
        <v>0</v>
      </c>
      <c r="S172">
        <v>0</v>
      </c>
    </row>
    <row r="173" spans="1:19" ht="15" x14ac:dyDescent="0.25">
      <c r="A173" t="s">
        <v>583</v>
      </c>
      <c r="C173" t="s">
        <v>22</v>
      </c>
      <c r="D173" t="s">
        <v>33</v>
      </c>
      <c r="E173" t="s">
        <v>34</v>
      </c>
      <c r="F173" t="s">
        <v>26</v>
      </c>
      <c r="G173">
        <v>4.4550000000000001</v>
      </c>
      <c r="H173">
        <v>0</v>
      </c>
      <c r="I173">
        <v>0</v>
      </c>
      <c r="J173">
        <v>0</v>
      </c>
      <c r="K173">
        <v>10.692</v>
      </c>
      <c r="L173">
        <v>4.2768E-2</v>
      </c>
      <c r="M173">
        <v>0</v>
      </c>
      <c r="N173">
        <v>0.9173593571621208</v>
      </c>
      <c r="O173">
        <v>0.99999784711462369</v>
      </c>
      <c r="P173">
        <v>0</v>
      </c>
      <c r="Q173">
        <v>32.521500000000003</v>
      </c>
      <c r="R173">
        <v>32.521500000000003</v>
      </c>
      <c r="S173">
        <v>177.85357919999998</v>
      </c>
    </row>
    <row r="174" spans="1:19" ht="15" x14ac:dyDescent="0.25">
      <c r="A174" t="s">
        <v>586</v>
      </c>
      <c r="C174" t="s">
        <v>22</v>
      </c>
      <c r="D174" t="s">
        <v>33</v>
      </c>
      <c r="E174" t="s">
        <v>34</v>
      </c>
      <c r="F174" t="s">
        <v>26</v>
      </c>
      <c r="G174">
        <v>0</v>
      </c>
      <c r="H174">
        <v>0</v>
      </c>
      <c r="I174">
        <v>0</v>
      </c>
      <c r="J174">
        <v>0</v>
      </c>
      <c r="K174">
        <v>0</v>
      </c>
      <c r="L174">
        <v>0</v>
      </c>
      <c r="M174">
        <v>0</v>
      </c>
      <c r="N174">
        <v>0.86588774805920499</v>
      </c>
      <c r="O174">
        <v>0.99998402911185846</v>
      </c>
      <c r="P174">
        <v>0</v>
      </c>
      <c r="Q174">
        <v>0</v>
      </c>
      <c r="R174">
        <v>0</v>
      </c>
      <c r="S174">
        <v>0</v>
      </c>
    </row>
    <row r="175" spans="1:19" ht="15" x14ac:dyDescent="0.25">
      <c r="A175" t="s">
        <v>587</v>
      </c>
      <c r="C175" t="s">
        <v>22</v>
      </c>
      <c r="D175" t="s">
        <v>33</v>
      </c>
      <c r="E175" t="s">
        <v>34</v>
      </c>
      <c r="F175" t="s">
        <v>26</v>
      </c>
      <c r="G175">
        <v>14.715</v>
      </c>
      <c r="H175">
        <v>0</v>
      </c>
      <c r="I175">
        <v>0</v>
      </c>
      <c r="J175">
        <v>0</v>
      </c>
      <c r="K175">
        <v>35.316000000000003</v>
      </c>
      <c r="L175">
        <v>0.141264</v>
      </c>
      <c r="M175">
        <v>0</v>
      </c>
      <c r="N175">
        <v>0.91193232141135561</v>
      </c>
      <c r="O175">
        <v>0.99999720401930192</v>
      </c>
      <c r="P175">
        <v>0</v>
      </c>
      <c r="Q175">
        <v>107.4195</v>
      </c>
      <c r="R175">
        <v>107.4195</v>
      </c>
      <c r="S175">
        <v>587.45576159999996</v>
      </c>
    </row>
    <row r="176" spans="1:19" ht="15" x14ac:dyDescent="0.25">
      <c r="A176" t="s">
        <v>1214</v>
      </c>
      <c r="C176" t="s">
        <v>22</v>
      </c>
      <c r="D176" t="s">
        <v>33</v>
      </c>
      <c r="E176" t="s">
        <v>34</v>
      </c>
      <c r="F176" t="s">
        <v>26</v>
      </c>
      <c r="G176">
        <v>3.645</v>
      </c>
      <c r="H176">
        <v>0</v>
      </c>
      <c r="I176">
        <v>0</v>
      </c>
      <c r="J176">
        <v>0</v>
      </c>
      <c r="K176">
        <v>8.7480000000000011</v>
      </c>
      <c r="L176">
        <v>3.4992000000000002E-2</v>
      </c>
      <c r="M176">
        <v>0</v>
      </c>
      <c r="N176">
        <v>0.99368201476493945</v>
      </c>
      <c r="O176">
        <v>0.99999999993310351</v>
      </c>
      <c r="P176">
        <v>0</v>
      </c>
      <c r="Q176">
        <v>26.608499999999999</v>
      </c>
      <c r="R176">
        <v>26.608499999999999</v>
      </c>
      <c r="S176">
        <v>145.5165648</v>
      </c>
    </row>
    <row r="177" spans="1:19" ht="15" x14ac:dyDescent="0.25">
      <c r="A177" t="s">
        <v>590</v>
      </c>
      <c r="C177" t="s">
        <v>22</v>
      </c>
      <c r="D177" t="s">
        <v>33</v>
      </c>
      <c r="E177" t="s">
        <v>34</v>
      </c>
      <c r="F177" t="s">
        <v>26</v>
      </c>
      <c r="G177">
        <v>0.13500000000000001</v>
      </c>
      <c r="H177">
        <v>0</v>
      </c>
      <c r="I177">
        <v>0</v>
      </c>
      <c r="J177">
        <v>0</v>
      </c>
      <c r="K177">
        <v>0.32400000000000007</v>
      </c>
      <c r="L177">
        <v>1.2960000000000003E-3</v>
      </c>
      <c r="M177">
        <v>0</v>
      </c>
      <c r="N177">
        <v>0.86588774805920499</v>
      </c>
      <c r="O177">
        <v>0.99998402911185846</v>
      </c>
      <c r="P177">
        <v>0</v>
      </c>
      <c r="Q177">
        <v>0.98550000000000004</v>
      </c>
      <c r="R177">
        <v>0.98550000000000004</v>
      </c>
      <c r="S177">
        <v>5.3895024000000005</v>
      </c>
    </row>
    <row r="178" spans="1:19" ht="15" x14ac:dyDescent="0.25">
      <c r="A178" t="s">
        <v>1213</v>
      </c>
      <c r="C178" t="s">
        <v>22</v>
      </c>
      <c r="D178" t="s">
        <v>33</v>
      </c>
      <c r="E178" t="s">
        <v>34</v>
      </c>
      <c r="F178" t="s">
        <v>26</v>
      </c>
      <c r="G178">
        <v>4.05</v>
      </c>
      <c r="H178">
        <v>0</v>
      </c>
      <c r="I178">
        <v>0</v>
      </c>
      <c r="J178">
        <v>0</v>
      </c>
      <c r="K178">
        <v>9.7200000000000006</v>
      </c>
      <c r="L178">
        <v>3.8880000000000005E-2</v>
      </c>
      <c r="M178">
        <v>0</v>
      </c>
      <c r="N178">
        <v>0.88419564489518299</v>
      </c>
      <c r="O178">
        <v>0.99999133392763406</v>
      </c>
      <c r="P178">
        <v>0</v>
      </c>
      <c r="Q178">
        <v>29.564999999999998</v>
      </c>
      <c r="R178">
        <v>29.564999999999998</v>
      </c>
      <c r="S178">
        <v>161.68507199999999</v>
      </c>
    </row>
    <row r="179" spans="1:19" ht="15" x14ac:dyDescent="0.25">
      <c r="A179" t="s">
        <v>592</v>
      </c>
      <c r="C179" t="s">
        <v>22</v>
      </c>
      <c r="D179" t="s">
        <v>33</v>
      </c>
      <c r="E179" t="s">
        <v>34</v>
      </c>
      <c r="F179" t="s">
        <v>26</v>
      </c>
      <c r="G179">
        <v>0</v>
      </c>
      <c r="H179">
        <v>0</v>
      </c>
      <c r="I179">
        <v>0</v>
      </c>
      <c r="J179">
        <v>0</v>
      </c>
      <c r="K179">
        <v>0</v>
      </c>
      <c r="L179">
        <v>0</v>
      </c>
      <c r="M179">
        <v>0</v>
      </c>
      <c r="N179">
        <v>0.86588774805920499</v>
      </c>
      <c r="O179">
        <v>0.99998402911185846</v>
      </c>
      <c r="P179">
        <v>0</v>
      </c>
      <c r="Q179">
        <v>0</v>
      </c>
      <c r="R179">
        <v>0</v>
      </c>
      <c r="S179">
        <v>0</v>
      </c>
    </row>
    <row r="180" spans="1:19" ht="15" x14ac:dyDescent="0.25">
      <c r="A180" t="s">
        <v>604</v>
      </c>
      <c r="C180" t="s">
        <v>22</v>
      </c>
      <c r="D180" t="s">
        <v>33</v>
      </c>
      <c r="E180" t="s">
        <v>34</v>
      </c>
      <c r="F180" t="s">
        <v>26</v>
      </c>
      <c r="G180">
        <v>0</v>
      </c>
      <c r="H180">
        <v>0</v>
      </c>
      <c r="I180">
        <v>0</v>
      </c>
      <c r="J180">
        <v>0</v>
      </c>
      <c r="K180">
        <v>0</v>
      </c>
      <c r="L180">
        <v>0</v>
      </c>
      <c r="M180">
        <v>0</v>
      </c>
      <c r="N180">
        <v>0.86588774805920499</v>
      </c>
      <c r="O180">
        <v>0.99998402911185846</v>
      </c>
      <c r="P180">
        <v>0</v>
      </c>
      <c r="Q180">
        <v>0</v>
      </c>
      <c r="R180">
        <v>0</v>
      </c>
      <c r="S180">
        <v>0</v>
      </c>
    </row>
    <row r="181" spans="1:19" ht="15" x14ac:dyDescent="0.25">
      <c r="A181" t="s">
        <v>591</v>
      </c>
      <c r="C181" t="s">
        <v>22</v>
      </c>
      <c r="D181" t="s">
        <v>33</v>
      </c>
      <c r="E181" t="s">
        <v>34</v>
      </c>
      <c r="F181" t="s">
        <v>26</v>
      </c>
      <c r="G181">
        <v>53.864999999999995</v>
      </c>
      <c r="H181">
        <v>0</v>
      </c>
      <c r="I181">
        <v>0</v>
      </c>
      <c r="J181">
        <v>0</v>
      </c>
      <c r="K181">
        <v>129.27600000000001</v>
      </c>
      <c r="L181">
        <v>0.51710400000000001</v>
      </c>
      <c r="M181">
        <v>0</v>
      </c>
      <c r="N181">
        <v>0.91722726692541467</v>
      </c>
      <c r="O181">
        <v>0.99999783295098688</v>
      </c>
      <c r="P181">
        <v>0</v>
      </c>
      <c r="Q181">
        <v>393.21449999999993</v>
      </c>
      <c r="R181">
        <v>393.21449999999993</v>
      </c>
      <c r="S181">
        <v>2150.4114575999997</v>
      </c>
    </row>
    <row r="182" spans="1:19" ht="15" x14ac:dyDescent="0.25">
      <c r="A182" t="s">
        <v>617</v>
      </c>
      <c r="C182" t="s">
        <v>22</v>
      </c>
      <c r="D182" t="s">
        <v>33</v>
      </c>
      <c r="E182" t="s">
        <v>34</v>
      </c>
      <c r="F182" t="s">
        <v>26</v>
      </c>
      <c r="G182">
        <v>0</v>
      </c>
      <c r="H182">
        <v>0</v>
      </c>
      <c r="I182">
        <v>0</v>
      </c>
      <c r="J182">
        <v>0</v>
      </c>
      <c r="K182">
        <v>0</v>
      </c>
      <c r="L182">
        <v>0</v>
      </c>
      <c r="M182">
        <v>0</v>
      </c>
      <c r="N182">
        <v>0.86588774805920499</v>
      </c>
      <c r="O182">
        <v>0.99998402911185846</v>
      </c>
      <c r="P182">
        <v>0</v>
      </c>
      <c r="Q182">
        <v>0</v>
      </c>
      <c r="R182">
        <v>0</v>
      </c>
      <c r="S182">
        <v>0</v>
      </c>
    </row>
    <row r="183" spans="1:19" ht="15" x14ac:dyDescent="0.25">
      <c r="A183" t="s">
        <v>618</v>
      </c>
      <c r="C183" t="s">
        <v>22</v>
      </c>
      <c r="D183" t="s">
        <v>33</v>
      </c>
      <c r="E183" t="s">
        <v>34</v>
      </c>
      <c r="F183" t="s">
        <v>26</v>
      </c>
      <c r="G183">
        <v>0</v>
      </c>
      <c r="H183">
        <v>0</v>
      </c>
      <c r="I183">
        <v>0</v>
      </c>
      <c r="J183">
        <v>0</v>
      </c>
      <c r="K183">
        <v>0</v>
      </c>
      <c r="L183">
        <v>0</v>
      </c>
      <c r="M183">
        <v>0</v>
      </c>
      <c r="N183">
        <v>0.86588774805920499</v>
      </c>
      <c r="O183">
        <v>0.99998402911185846</v>
      </c>
      <c r="P183">
        <v>0</v>
      </c>
      <c r="Q183">
        <v>0</v>
      </c>
      <c r="R183">
        <v>0</v>
      </c>
      <c r="S183">
        <v>0</v>
      </c>
    </row>
    <row r="184" spans="1:19" ht="15" x14ac:dyDescent="0.25">
      <c r="A184" t="s">
        <v>1209</v>
      </c>
      <c r="C184" t="s">
        <v>22</v>
      </c>
      <c r="D184" t="s">
        <v>33</v>
      </c>
      <c r="E184" t="s">
        <v>34</v>
      </c>
      <c r="F184" t="s">
        <v>26</v>
      </c>
      <c r="G184">
        <v>91.519999999999982</v>
      </c>
      <c r="H184">
        <v>0</v>
      </c>
      <c r="I184">
        <v>0</v>
      </c>
      <c r="J184">
        <v>0</v>
      </c>
      <c r="K184">
        <v>168.95999999999998</v>
      </c>
      <c r="L184">
        <v>0.67583999999999989</v>
      </c>
      <c r="M184">
        <v>0</v>
      </c>
      <c r="N184">
        <v>0</v>
      </c>
      <c r="O184">
        <v>0</v>
      </c>
      <c r="P184">
        <v>0</v>
      </c>
      <c r="Q184">
        <v>668.09599999999989</v>
      </c>
      <c r="R184">
        <v>668.09599999999989</v>
      </c>
      <c r="S184">
        <v>2964.7016959999996</v>
      </c>
    </row>
    <row r="185" spans="1:19" ht="15" x14ac:dyDescent="0.25">
      <c r="A185" t="s">
        <v>593</v>
      </c>
      <c r="C185" t="s">
        <v>22</v>
      </c>
      <c r="D185" t="s">
        <v>62</v>
      </c>
      <c r="E185" t="s">
        <v>34</v>
      </c>
      <c r="F185" t="s">
        <v>26</v>
      </c>
      <c r="G185">
        <v>0</v>
      </c>
      <c r="H185">
        <v>0</v>
      </c>
      <c r="I185">
        <v>0</v>
      </c>
      <c r="J185">
        <v>0</v>
      </c>
      <c r="K185">
        <v>0</v>
      </c>
      <c r="L185">
        <v>0</v>
      </c>
      <c r="M185">
        <v>0</v>
      </c>
      <c r="N185">
        <v>0.99282585790381339</v>
      </c>
      <c r="O185">
        <v>0.99999999988866861</v>
      </c>
      <c r="P185">
        <v>0</v>
      </c>
      <c r="Q185">
        <v>0</v>
      </c>
      <c r="R185">
        <v>0</v>
      </c>
      <c r="S185">
        <v>0</v>
      </c>
    </row>
    <row r="186" spans="1:19" ht="15" x14ac:dyDescent="0.25">
      <c r="A186" t="s">
        <v>596</v>
      </c>
      <c r="C186" t="s">
        <v>22</v>
      </c>
      <c r="D186" t="s">
        <v>62</v>
      </c>
      <c r="E186" t="s">
        <v>34</v>
      </c>
      <c r="F186" t="s">
        <v>26</v>
      </c>
      <c r="G186">
        <v>0</v>
      </c>
      <c r="H186">
        <v>0</v>
      </c>
      <c r="I186">
        <v>0</v>
      </c>
      <c r="J186">
        <v>0</v>
      </c>
      <c r="K186">
        <v>0</v>
      </c>
      <c r="L186">
        <v>0</v>
      </c>
      <c r="M186">
        <v>0</v>
      </c>
      <c r="N186">
        <v>0.86588774805920499</v>
      </c>
      <c r="O186">
        <v>0.99998402911185846</v>
      </c>
      <c r="P186">
        <v>0</v>
      </c>
      <c r="Q186">
        <v>0</v>
      </c>
      <c r="R186">
        <v>0</v>
      </c>
      <c r="S186">
        <v>0</v>
      </c>
    </row>
    <row r="187" spans="1:19" ht="15" x14ac:dyDescent="0.25">
      <c r="A187" t="s">
        <v>620</v>
      </c>
      <c r="C187" t="s">
        <v>22</v>
      </c>
      <c r="D187" t="s">
        <v>62</v>
      </c>
      <c r="E187" t="s">
        <v>34</v>
      </c>
      <c r="F187" t="s">
        <v>26</v>
      </c>
      <c r="G187">
        <v>0</v>
      </c>
      <c r="H187">
        <v>0</v>
      </c>
      <c r="I187">
        <v>0</v>
      </c>
      <c r="J187">
        <v>0</v>
      </c>
      <c r="K187">
        <v>0</v>
      </c>
      <c r="L187">
        <v>0</v>
      </c>
      <c r="M187">
        <v>0</v>
      </c>
      <c r="N187">
        <v>0.78286109480465094</v>
      </c>
      <c r="O187">
        <v>0.99987687844845685</v>
      </c>
      <c r="P187">
        <v>0</v>
      </c>
      <c r="Q187">
        <v>0</v>
      </c>
      <c r="R187">
        <v>0</v>
      </c>
      <c r="S187">
        <v>0</v>
      </c>
    </row>
    <row r="188" spans="1:19" ht="15" x14ac:dyDescent="0.25">
      <c r="A188" t="s">
        <v>614</v>
      </c>
      <c r="C188" t="s">
        <v>22</v>
      </c>
      <c r="D188" t="s">
        <v>62</v>
      </c>
      <c r="E188" t="s">
        <v>34</v>
      </c>
      <c r="F188" t="s">
        <v>26</v>
      </c>
      <c r="G188">
        <v>0</v>
      </c>
      <c r="H188">
        <v>0</v>
      </c>
      <c r="I188">
        <v>0</v>
      </c>
      <c r="J188">
        <v>0</v>
      </c>
      <c r="K188">
        <v>0</v>
      </c>
      <c r="L188">
        <v>0</v>
      </c>
      <c r="M188">
        <v>0</v>
      </c>
      <c r="N188">
        <v>0.51044111281980853</v>
      </c>
      <c r="O188">
        <v>0.99499292844029141</v>
      </c>
      <c r="P188">
        <v>0</v>
      </c>
      <c r="Q188">
        <v>0</v>
      </c>
      <c r="R188">
        <v>0</v>
      </c>
      <c r="S188">
        <v>0</v>
      </c>
    </row>
    <row r="189" spans="1:19" ht="15" x14ac:dyDescent="0.25">
      <c r="A189" t="s">
        <v>581</v>
      </c>
      <c r="C189" t="s">
        <v>22</v>
      </c>
      <c r="D189" t="s">
        <v>62</v>
      </c>
      <c r="E189" t="s">
        <v>34</v>
      </c>
      <c r="F189" t="s">
        <v>26</v>
      </c>
      <c r="G189">
        <v>0</v>
      </c>
      <c r="H189">
        <v>0</v>
      </c>
      <c r="I189">
        <v>0</v>
      </c>
      <c r="J189">
        <v>0</v>
      </c>
      <c r="K189">
        <v>0</v>
      </c>
      <c r="L189">
        <v>0</v>
      </c>
      <c r="M189">
        <v>0</v>
      </c>
      <c r="N189">
        <v>0.82927786422589567</v>
      </c>
      <c r="O189">
        <v>0.99995592652435195</v>
      </c>
      <c r="P189">
        <v>0</v>
      </c>
      <c r="Q189">
        <v>0</v>
      </c>
      <c r="R189">
        <v>0</v>
      </c>
      <c r="S189">
        <v>0</v>
      </c>
    </row>
    <row r="190" spans="1:19" ht="15" x14ac:dyDescent="0.25">
      <c r="A190" t="s">
        <v>621</v>
      </c>
      <c r="C190" t="s">
        <v>22</v>
      </c>
      <c r="D190" t="s">
        <v>62</v>
      </c>
      <c r="E190" t="s">
        <v>34</v>
      </c>
      <c r="F190" t="s">
        <v>26</v>
      </c>
      <c r="G190">
        <v>0</v>
      </c>
      <c r="H190">
        <v>0</v>
      </c>
      <c r="I190">
        <v>0</v>
      </c>
      <c r="J190">
        <v>0</v>
      </c>
      <c r="K190">
        <v>0</v>
      </c>
      <c r="L190">
        <v>0</v>
      </c>
      <c r="M190">
        <v>0</v>
      </c>
      <c r="N190">
        <v>0.95771982694596791</v>
      </c>
      <c r="O190">
        <v>0.99999985980731232</v>
      </c>
      <c r="P190">
        <v>0</v>
      </c>
      <c r="Q190">
        <v>0</v>
      </c>
      <c r="R190">
        <v>0</v>
      </c>
      <c r="S190">
        <v>0</v>
      </c>
    </row>
    <row r="191" spans="1:19" ht="15" x14ac:dyDescent="0.25">
      <c r="A191" t="s">
        <v>600</v>
      </c>
      <c r="C191" t="s">
        <v>22</v>
      </c>
      <c r="D191" t="s">
        <v>62</v>
      </c>
      <c r="E191" t="s">
        <v>34</v>
      </c>
      <c r="F191" t="s">
        <v>26</v>
      </c>
      <c r="G191">
        <v>0</v>
      </c>
      <c r="H191">
        <v>0</v>
      </c>
      <c r="I191">
        <v>0</v>
      </c>
      <c r="J191">
        <v>0</v>
      </c>
      <c r="K191">
        <v>0</v>
      </c>
      <c r="L191">
        <v>0</v>
      </c>
      <c r="M191">
        <v>0</v>
      </c>
      <c r="N191">
        <v>0.86588774805920499</v>
      </c>
      <c r="O191">
        <v>0.99998402911185846</v>
      </c>
      <c r="P191">
        <v>0</v>
      </c>
      <c r="Q191">
        <v>0</v>
      </c>
      <c r="R191">
        <v>0</v>
      </c>
      <c r="S191">
        <v>0</v>
      </c>
    </row>
    <row r="192" spans="1:19" ht="15" x14ac:dyDescent="0.25">
      <c r="A192" t="s">
        <v>583</v>
      </c>
      <c r="C192" t="s">
        <v>22</v>
      </c>
      <c r="D192" t="s">
        <v>62</v>
      </c>
      <c r="E192" t="s">
        <v>34</v>
      </c>
      <c r="F192" t="s">
        <v>26</v>
      </c>
      <c r="G192">
        <v>0</v>
      </c>
      <c r="H192">
        <v>0</v>
      </c>
      <c r="I192">
        <v>0</v>
      </c>
      <c r="J192">
        <v>0</v>
      </c>
      <c r="K192">
        <v>0</v>
      </c>
      <c r="L192">
        <v>0</v>
      </c>
      <c r="M192">
        <v>0</v>
      </c>
      <c r="N192">
        <v>0.9173593571621208</v>
      </c>
      <c r="O192">
        <v>0.99999784711462369</v>
      </c>
      <c r="P192">
        <v>0</v>
      </c>
      <c r="Q192">
        <v>0</v>
      </c>
      <c r="R192">
        <v>0</v>
      </c>
      <c r="S192">
        <v>0</v>
      </c>
    </row>
    <row r="193" spans="1:19" ht="15" x14ac:dyDescent="0.25">
      <c r="A193" t="s">
        <v>603</v>
      </c>
      <c r="C193" t="s">
        <v>22</v>
      </c>
      <c r="D193" t="s">
        <v>62</v>
      </c>
      <c r="E193" t="s">
        <v>34</v>
      </c>
      <c r="F193" t="s">
        <v>26</v>
      </c>
      <c r="G193">
        <v>0</v>
      </c>
      <c r="H193">
        <v>0</v>
      </c>
      <c r="I193">
        <v>0</v>
      </c>
      <c r="J193">
        <v>0</v>
      </c>
      <c r="K193">
        <v>0</v>
      </c>
      <c r="L193">
        <v>0</v>
      </c>
      <c r="M193">
        <v>0</v>
      </c>
      <c r="N193">
        <v>0.86588774805920499</v>
      </c>
      <c r="O193">
        <v>0.99998402911185846</v>
      </c>
      <c r="P193">
        <v>0</v>
      </c>
      <c r="Q193">
        <v>0</v>
      </c>
      <c r="R193">
        <v>0</v>
      </c>
      <c r="S193">
        <v>0</v>
      </c>
    </row>
    <row r="194" spans="1:19" ht="15" x14ac:dyDescent="0.25">
      <c r="A194" t="s">
        <v>586</v>
      </c>
      <c r="C194" t="s">
        <v>22</v>
      </c>
      <c r="D194" t="s">
        <v>62</v>
      </c>
      <c r="E194" t="s">
        <v>34</v>
      </c>
      <c r="F194" t="s">
        <v>26</v>
      </c>
      <c r="G194">
        <v>0</v>
      </c>
      <c r="H194">
        <v>0</v>
      </c>
      <c r="I194">
        <v>0</v>
      </c>
      <c r="J194">
        <v>0</v>
      </c>
      <c r="K194">
        <v>0</v>
      </c>
      <c r="L194">
        <v>0</v>
      </c>
      <c r="M194">
        <v>0</v>
      </c>
      <c r="N194">
        <v>0.86588774805920499</v>
      </c>
      <c r="O194">
        <v>0.99998402911185846</v>
      </c>
      <c r="P194">
        <v>0</v>
      </c>
      <c r="Q194">
        <v>0</v>
      </c>
      <c r="R194">
        <v>0</v>
      </c>
      <c r="S194">
        <v>0</v>
      </c>
    </row>
    <row r="195" spans="1:19" ht="15" x14ac:dyDescent="0.25">
      <c r="A195" t="s">
        <v>587</v>
      </c>
      <c r="C195" t="s">
        <v>22</v>
      </c>
      <c r="D195" t="s">
        <v>62</v>
      </c>
      <c r="E195" t="s">
        <v>34</v>
      </c>
      <c r="F195" t="s">
        <v>26</v>
      </c>
      <c r="G195">
        <v>0</v>
      </c>
      <c r="H195">
        <v>0</v>
      </c>
      <c r="I195">
        <v>0</v>
      </c>
      <c r="J195">
        <v>0</v>
      </c>
      <c r="K195">
        <v>0</v>
      </c>
      <c r="L195">
        <v>0</v>
      </c>
      <c r="M195">
        <v>0</v>
      </c>
      <c r="N195">
        <v>0.80573530187347964</v>
      </c>
      <c r="O195">
        <v>0.99992364610504736</v>
      </c>
      <c r="P195">
        <v>0</v>
      </c>
      <c r="Q195">
        <v>0</v>
      </c>
      <c r="R195">
        <v>0</v>
      </c>
      <c r="S195">
        <v>0</v>
      </c>
    </row>
    <row r="196" spans="1:19" ht="15" x14ac:dyDescent="0.25">
      <c r="A196" t="s">
        <v>588</v>
      </c>
      <c r="C196" t="s">
        <v>22</v>
      </c>
      <c r="D196" t="s">
        <v>62</v>
      </c>
      <c r="E196" t="s">
        <v>34</v>
      </c>
      <c r="F196" t="s">
        <v>26</v>
      </c>
      <c r="G196">
        <v>0</v>
      </c>
      <c r="H196">
        <v>0</v>
      </c>
      <c r="I196">
        <v>0</v>
      </c>
      <c r="J196">
        <v>0</v>
      </c>
      <c r="K196">
        <v>0</v>
      </c>
      <c r="L196">
        <v>0</v>
      </c>
      <c r="M196">
        <v>0</v>
      </c>
      <c r="N196">
        <v>0.86588774805920499</v>
      </c>
      <c r="O196">
        <v>0.99998402911185846</v>
      </c>
      <c r="P196">
        <v>0</v>
      </c>
      <c r="Q196">
        <v>0</v>
      </c>
      <c r="R196">
        <v>0</v>
      </c>
      <c r="S196">
        <v>0</v>
      </c>
    </row>
    <row r="197" spans="1:19" ht="15" x14ac:dyDescent="0.25">
      <c r="A197" t="s">
        <v>590</v>
      </c>
      <c r="C197" t="s">
        <v>22</v>
      </c>
      <c r="D197" t="s">
        <v>62</v>
      </c>
      <c r="E197" t="s">
        <v>34</v>
      </c>
      <c r="F197" t="s">
        <v>26</v>
      </c>
      <c r="G197">
        <v>0</v>
      </c>
      <c r="H197">
        <v>0</v>
      </c>
      <c r="I197">
        <v>0</v>
      </c>
      <c r="J197">
        <v>0</v>
      </c>
      <c r="K197">
        <v>0</v>
      </c>
      <c r="L197">
        <v>0</v>
      </c>
      <c r="M197">
        <v>0</v>
      </c>
      <c r="N197">
        <v>0.86588774805920499</v>
      </c>
      <c r="O197">
        <v>0.99998402911185846</v>
      </c>
      <c r="P197">
        <v>0</v>
      </c>
      <c r="Q197">
        <v>0</v>
      </c>
      <c r="R197">
        <v>0</v>
      </c>
      <c r="S197">
        <v>0</v>
      </c>
    </row>
    <row r="198" spans="1:19" ht="15" x14ac:dyDescent="0.25">
      <c r="A198" t="s">
        <v>592</v>
      </c>
      <c r="C198" t="s">
        <v>22</v>
      </c>
      <c r="D198" t="s">
        <v>62</v>
      </c>
      <c r="E198" t="s">
        <v>34</v>
      </c>
      <c r="F198" t="s">
        <v>26</v>
      </c>
      <c r="G198">
        <v>0</v>
      </c>
      <c r="H198">
        <v>0</v>
      </c>
      <c r="I198">
        <v>0</v>
      </c>
      <c r="J198">
        <v>0</v>
      </c>
      <c r="K198">
        <v>0</v>
      </c>
      <c r="L198">
        <v>0</v>
      </c>
      <c r="M198">
        <v>0</v>
      </c>
      <c r="N198">
        <v>0.86588774805920499</v>
      </c>
      <c r="O198">
        <v>0.99998402911185846</v>
      </c>
      <c r="P198">
        <v>0</v>
      </c>
      <c r="Q198">
        <v>0</v>
      </c>
      <c r="R198">
        <v>0</v>
      </c>
      <c r="S198">
        <v>0</v>
      </c>
    </row>
    <row r="199" spans="1:19" ht="15" x14ac:dyDescent="0.25">
      <c r="A199" t="s">
        <v>591</v>
      </c>
      <c r="C199" t="s">
        <v>22</v>
      </c>
      <c r="D199" t="s">
        <v>62</v>
      </c>
      <c r="E199" t="s">
        <v>34</v>
      </c>
      <c r="F199" t="s">
        <v>26</v>
      </c>
      <c r="G199">
        <v>0</v>
      </c>
      <c r="H199">
        <v>0</v>
      </c>
      <c r="I199">
        <v>0</v>
      </c>
      <c r="J199">
        <v>0</v>
      </c>
      <c r="K199">
        <v>0</v>
      </c>
      <c r="L199">
        <v>0</v>
      </c>
      <c r="M199">
        <v>0</v>
      </c>
      <c r="N199">
        <v>0.91722726692541467</v>
      </c>
      <c r="O199">
        <v>0.99999783295098688</v>
      </c>
      <c r="P199">
        <v>0</v>
      </c>
      <c r="Q199">
        <v>0</v>
      </c>
      <c r="R199">
        <v>0</v>
      </c>
      <c r="S199">
        <v>0</v>
      </c>
    </row>
    <row r="200" spans="1:19" ht="15" x14ac:dyDescent="0.25">
      <c r="A200" t="s">
        <v>617</v>
      </c>
      <c r="C200" t="s">
        <v>22</v>
      </c>
      <c r="D200" t="s">
        <v>62</v>
      </c>
      <c r="E200" t="s">
        <v>34</v>
      </c>
      <c r="F200" t="s">
        <v>26</v>
      </c>
      <c r="G200">
        <v>0</v>
      </c>
      <c r="H200">
        <v>0</v>
      </c>
      <c r="I200">
        <v>0</v>
      </c>
      <c r="J200">
        <v>0</v>
      </c>
      <c r="K200">
        <v>0</v>
      </c>
      <c r="L200">
        <v>0</v>
      </c>
      <c r="M200">
        <v>0</v>
      </c>
      <c r="N200">
        <v>0.86588774805920499</v>
      </c>
      <c r="O200">
        <v>0.99998402911185846</v>
      </c>
      <c r="P200">
        <v>0</v>
      </c>
      <c r="Q200">
        <v>0</v>
      </c>
      <c r="R200">
        <v>0</v>
      </c>
      <c r="S200">
        <v>0</v>
      </c>
    </row>
    <row r="201" spans="1:19" ht="15" x14ac:dyDescent="0.25">
      <c r="A201" t="s">
        <v>618</v>
      </c>
      <c r="C201" t="s">
        <v>22</v>
      </c>
      <c r="D201" t="s">
        <v>62</v>
      </c>
      <c r="E201" t="s">
        <v>34</v>
      </c>
      <c r="F201" t="s">
        <v>26</v>
      </c>
      <c r="G201">
        <v>0</v>
      </c>
      <c r="H201">
        <v>0</v>
      </c>
      <c r="I201">
        <v>0</v>
      </c>
      <c r="J201">
        <v>0</v>
      </c>
      <c r="K201">
        <v>0</v>
      </c>
      <c r="L201">
        <v>0</v>
      </c>
      <c r="M201">
        <v>0</v>
      </c>
      <c r="N201">
        <v>0.86588774805920499</v>
      </c>
      <c r="O201">
        <v>0.99998402911185846</v>
      </c>
      <c r="P201">
        <v>0</v>
      </c>
      <c r="Q201">
        <v>0</v>
      </c>
      <c r="R201">
        <v>0</v>
      </c>
      <c r="S201">
        <v>0</v>
      </c>
    </row>
    <row r="202" spans="1:19" ht="15" x14ac:dyDescent="0.25">
      <c r="A202" t="s">
        <v>593</v>
      </c>
      <c r="C202" t="s">
        <v>22</v>
      </c>
      <c r="D202" t="s">
        <v>116</v>
      </c>
      <c r="E202" t="s">
        <v>34</v>
      </c>
      <c r="F202" t="s">
        <v>26</v>
      </c>
      <c r="G202">
        <v>0</v>
      </c>
      <c r="H202">
        <v>0</v>
      </c>
      <c r="I202">
        <v>0</v>
      </c>
      <c r="J202">
        <v>0</v>
      </c>
      <c r="K202">
        <v>0</v>
      </c>
      <c r="L202">
        <v>0</v>
      </c>
      <c r="M202">
        <v>0</v>
      </c>
      <c r="N202">
        <v>0.99282585790381339</v>
      </c>
      <c r="O202">
        <v>0.99999999988866861</v>
      </c>
      <c r="P202">
        <v>0</v>
      </c>
      <c r="Q202">
        <v>0</v>
      </c>
      <c r="R202">
        <v>0</v>
      </c>
      <c r="S202">
        <v>0</v>
      </c>
    </row>
    <row r="203" spans="1:19" ht="15" x14ac:dyDescent="0.25">
      <c r="A203" t="s">
        <v>623</v>
      </c>
      <c r="C203" t="s">
        <v>22</v>
      </c>
      <c r="D203" t="s">
        <v>116</v>
      </c>
      <c r="E203" t="s">
        <v>34</v>
      </c>
      <c r="F203" t="s">
        <v>26</v>
      </c>
      <c r="G203">
        <v>0</v>
      </c>
      <c r="H203">
        <v>0</v>
      </c>
      <c r="I203">
        <v>0</v>
      </c>
      <c r="J203">
        <v>0</v>
      </c>
      <c r="K203">
        <v>0</v>
      </c>
      <c r="L203">
        <v>0</v>
      </c>
      <c r="M203">
        <v>0</v>
      </c>
      <c r="N203">
        <v>0.74976159223904126</v>
      </c>
      <c r="O203">
        <v>0.99977207838154314</v>
      </c>
      <c r="P203">
        <v>0</v>
      </c>
      <c r="Q203">
        <v>0</v>
      </c>
      <c r="R203">
        <v>0</v>
      </c>
      <c r="S203">
        <v>0</v>
      </c>
    </row>
    <row r="204" spans="1:19" ht="15" x14ac:dyDescent="0.25">
      <c r="A204" t="s">
        <v>596</v>
      </c>
      <c r="C204" t="s">
        <v>22</v>
      </c>
      <c r="D204" t="s">
        <v>116</v>
      </c>
      <c r="E204" t="s">
        <v>34</v>
      </c>
      <c r="F204" t="s">
        <v>26</v>
      </c>
      <c r="G204">
        <v>0.27</v>
      </c>
      <c r="H204">
        <v>0</v>
      </c>
      <c r="I204">
        <v>0</v>
      </c>
      <c r="J204">
        <v>0</v>
      </c>
      <c r="K204">
        <v>0.54270000000000007</v>
      </c>
      <c r="L204">
        <v>2.1708000000000005E-3</v>
      </c>
      <c r="M204">
        <v>0</v>
      </c>
      <c r="N204">
        <v>0.86588774805920499</v>
      </c>
      <c r="O204">
        <v>0.99998402911185846</v>
      </c>
      <c r="P204">
        <v>0</v>
      </c>
      <c r="Q204">
        <v>1.9710000000000001</v>
      </c>
      <c r="R204">
        <v>1.9710000000000001</v>
      </c>
      <c r="S204">
        <v>9.3477040200000019</v>
      </c>
    </row>
    <row r="205" spans="1:19" ht="15" x14ac:dyDescent="0.25">
      <c r="A205" t="s">
        <v>624</v>
      </c>
      <c r="C205" t="s">
        <v>22</v>
      </c>
      <c r="D205" t="s">
        <v>116</v>
      </c>
      <c r="E205" t="s">
        <v>34</v>
      </c>
      <c r="F205" t="s">
        <v>26</v>
      </c>
      <c r="G205">
        <v>36.450000000000003</v>
      </c>
      <c r="H205">
        <v>0</v>
      </c>
      <c r="I205">
        <v>0</v>
      </c>
      <c r="J205">
        <v>0</v>
      </c>
      <c r="K205">
        <v>73.264499999999998</v>
      </c>
      <c r="L205">
        <v>0.29305799999999999</v>
      </c>
      <c r="M205">
        <v>0</v>
      </c>
      <c r="N205">
        <v>0.80573530187347964</v>
      </c>
      <c r="O205">
        <v>0.99992364610504736</v>
      </c>
      <c r="P205">
        <v>0</v>
      </c>
      <c r="Q205">
        <v>266.08500000000004</v>
      </c>
      <c r="R205">
        <v>266.08500000000004</v>
      </c>
      <c r="S205">
        <v>1261.9400426999998</v>
      </c>
    </row>
    <row r="206" spans="1:19" ht="15" x14ac:dyDescent="0.25">
      <c r="A206" t="s">
        <v>625</v>
      </c>
      <c r="C206" t="s">
        <v>22</v>
      </c>
      <c r="D206" t="s">
        <v>116</v>
      </c>
      <c r="E206" t="s">
        <v>34</v>
      </c>
      <c r="F206" t="s">
        <v>26</v>
      </c>
      <c r="G206">
        <v>16.186499999999999</v>
      </c>
      <c r="H206">
        <v>0</v>
      </c>
      <c r="I206">
        <v>0</v>
      </c>
      <c r="J206">
        <v>0</v>
      </c>
      <c r="K206">
        <v>32.534865000000003</v>
      </c>
      <c r="L206">
        <v>0.13013946000000001</v>
      </c>
      <c r="M206">
        <v>0</v>
      </c>
      <c r="N206">
        <v>0.78286109480465094</v>
      </c>
      <c r="O206">
        <v>0.99987687844845685</v>
      </c>
      <c r="P206">
        <v>0</v>
      </c>
      <c r="Q206">
        <v>118.16144999999999</v>
      </c>
      <c r="R206">
        <v>118.16144999999999</v>
      </c>
      <c r="S206">
        <v>560.39485599900001</v>
      </c>
    </row>
    <row r="207" spans="1:19" ht="15" x14ac:dyDescent="0.25">
      <c r="A207" t="s">
        <v>621</v>
      </c>
      <c r="C207" t="s">
        <v>22</v>
      </c>
      <c r="D207" t="s">
        <v>116</v>
      </c>
      <c r="E207" t="s">
        <v>34</v>
      </c>
      <c r="F207" t="s">
        <v>26</v>
      </c>
      <c r="G207">
        <v>0</v>
      </c>
      <c r="H207">
        <v>0</v>
      </c>
      <c r="I207">
        <v>0</v>
      </c>
      <c r="J207">
        <v>0</v>
      </c>
      <c r="K207">
        <v>0</v>
      </c>
      <c r="L207">
        <v>0</v>
      </c>
      <c r="M207">
        <v>0</v>
      </c>
      <c r="N207">
        <v>0.95771982694596791</v>
      </c>
      <c r="O207">
        <v>0.99999985980731232</v>
      </c>
      <c r="P207">
        <v>0</v>
      </c>
      <c r="Q207">
        <v>0</v>
      </c>
      <c r="R207">
        <v>0</v>
      </c>
      <c r="S207">
        <v>0</v>
      </c>
    </row>
    <row r="208" spans="1:19" ht="15" x14ac:dyDescent="0.25">
      <c r="A208" t="s">
        <v>626</v>
      </c>
      <c r="C208" t="s">
        <v>22</v>
      </c>
      <c r="D208" t="s">
        <v>116</v>
      </c>
      <c r="E208" t="s">
        <v>34</v>
      </c>
      <c r="F208" t="s">
        <v>26</v>
      </c>
      <c r="G208">
        <v>0</v>
      </c>
      <c r="H208">
        <v>0</v>
      </c>
      <c r="I208">
        <v>0</v>
      </c>
      <c r="J208">
        <v>0</v>
      </c>
      <c r="K208">
        <v>0</v>
      </c>
      <c r="L208">
        <v>0</v>
      </c>
      <c r="M208">
        <v>0</v>
      </c>
      <c r="N208">
        <v>0.86588774805920499</v>
      </c>
      <c r="O208">
        <v>0.99998402911185846</v>
      </c>
      <c r="P208">
        <v>0</v>
      </c>
      <c r="Q208">
        <v>0</v>
      </c>
      <c r="R208">
        <v>0</v>
      </c>
      <c r="S208">
        <v>0</v>
      </c>
    </row>
    <row r="209" spans="1:19" ht="15" x14ac:dyDescent="0.25">
      <c r="A209" t="s">
        <v>600</v>
      </c>
      <c r="C209" t="s">
        <v>22</v>
      </c>
      <c r="D209" t="s">
        <v>116</v>
      </c>
      <c r="E209" t="s">
        <v>34</v>
      </c>
      <c r="F209" t="s">
        <v>26</v>
      </c>
      <c r="G209">
        <v>0.27</v>
      </c>
      <c r="H209">
        <v>0</v>
      </c>
      <c r="I209">
        <v>0</v>
      </c>
      <c r="J209">
        <v>0</v>
      </c>
      <c r="K209">
        <v>0.54270000000000007</v>
      </c>
      <c r="L209">
        <v>2.1708000000000005E-3</v>
      </c>
      <c r="M209">
        <v>0</v>
      </c>
      <c r="N209">
        <v>0.86588774805920499</v>
      </c>
      <c r="O209">
        <v>0.99998402911185846</v>
      </c>
      <c r="P209">
        <v>0</v>
      </c>
      <c r="Q209">
        <v>1.9710000000000001</v>
      </c>
      <c r="R209">
        <v>1.9710000000000001</v>
      </c>
      <c r="S209">
        <v>9.3477040200000019</v>
      </c>
    </row>
    <row r="210" spans="1:19" ht="15" x14ac:dyDescent="0.25">
      <c r="A210" t="s">
        <v>627</v>
      </c>
      <c r="C210" t="s">
        <v>22</v>
      </c>
      <c r="D210" t="s">
        <v>116</v>
      </c>
      <c r="E210" t="s">
        <v>34</v>
      </c>
      <c r="F210" t="s">
        <v>26</v>
      </c>
      <c r="G210">
        <v>67.108500000000006</v>
      </c>
      <c r="H210">
        <v>0</v>
      </c>
      <c r="I210">
        <v>0</v>
      </c>
      <c r="J210">
        <v>0</v>
      </c>
      <c r="K210">
        <v>134.88808500000002</v>
      </c>
      <c r="L210">
        <v>0.53955234000000007</v>
      </c>
      <c r="M210">
        <v>0</v>
      </c>
      <c r="N210">
        <v>0.86588774805920499</v>
      </c>
      <c r="O210">
        <v>0.99998402911185846</v>
      </c>
      <c r="P210">
        <v>0</v>
      </c>
      <c r="Q210">
        <v>489.89205000000004</v>
      </c>
      <c r="R210">
        <v>489.89205000000004</v>
      </c>
      <c r="S210">
        <v>2323.371834171</v>
      </c>
    </row>
    <row r="211" spans="1:19" ht="15" x14ac:dyDescent="0.25">
      <c r="A211" t="s">
        <v>628</v>
      </c>
      <c r="C211" t="s">
        <v>22</v>
      </c>
      <c r="D211" t="s">
        <v>116</v>
      </c>
      <c r="E211" t="s">
        <v>34</v>
      </c>
      <c r="F211" t="s">
        <v>26</v>
      </c>
      <c r="G211">
        <v>0</v>
      </c>
      <c r="H211">
        <v>0</v>
      </c>
      <c r="I211">
        <v>0</v>
      </c>
      <c r="J211">
        <v>0</v>
      </c>
      <c r="K211">
        <v>0</v>
      </c>
      <c r="L211">
        <v>0</v>
      </c>
      <c r="M211">
        <v>0</v>
      </c>
      <c r="N211">
        <v>0.86588774805920499</v>
      </c>
      <c r="O211">
        <v>0.99998402911185846</v>
      </c>
      <c r="P211">
        <v>0</v>
      </c>
      <c r="Q211">
        <v>0</v>
      </c>
      <c r="R211">
        <v>0</v>
      </c>
      <c r="S211">
        <v>0</v>
      </c>
    </row>
    <row r="212" spans="1:19" ht="15" x14ac:dyDescent="0.25">
      <c r="A212" t="s">
        <v>629</v>
      </c>
      <c r="C212" t="s">
        <v>22</v>
      </c>
      <c r="D212" t="s">
        <v>116</v>
      </c>
      <c r="E212" t="s">
        <v>34</v>
      </c>
      <c r="F212" t="s">
        <v>26</v>
      </c>
      <c r="G212">
        <v>0.27</v>
      </c>
      <c r="H212">
        <v>0</v>
      </c>
      <c r="I212">
        <v>0</v>
      </c>
      <c r="J212">
        <v>0</v>
      </c>
      <c r="K212">
        <v>0.54270000000000007</v>
      </c>
      <c r="L212">
        <v>2.1708000000000005E-3</v>
      </c>
      <c r="M212">
        <v>0</v>
      </c>
      <c r="N212">
        <v>0.86588774805920499</v>
      </c>
      <c r="O212">
        <v>0.99998402911185846</v>
      </c>
      <c r="P212">
        <v>0</v>
      </c>
      <c r="Q212">
        <v>1.9710000000000001</v>
      </c>
      <c r="R212">
        <v>1.9710000000000001</v>
      </c>
      <c r="S212">
        <v>9.3477040200000019</v>
      </c>
    </row>
    <row r="213" spans="1:19" ht="15" x14ac:dyDescent="0.25">
      <c r="A213" t="s">
        <v>603</v>
      </c>
      <c r="C213" t="s">
        <v>22</v>
      </c>
      <c r="D213" t="s">
        <v>116</v>
      </c>
      <c r="E213" t="s">
        <v>34</v>
      </c>
      <c r="F213" t="s">
        <v>26</v>
      </c>
      <c r="G213">
        <v>0</v>
      </c>
      <c r="H213">
        <v>0</v>
      </c>
      <c r="I213">
        <v>0</v>
      </c>
      <c r="J213">
        <v>0</v>
      </c>
      <c r="K213">
        <v>0</v>
      </c>
      <c r="L213">
        <v>0</v>
      </c>
      <c r="M213">
        <v>0</v>
      </c>
      <c r="N213">
        <v>0.86588774805920499</v>
      </c>
      <c r="O213">
        <v>0.99998402911185846</v>
      </c>
      <c r="P213">
        <v>0</v>
      </c>
      <c r="Q213">
        <v>0</v>
      </c>
      <c r="R213">
        <v>0</v>
      </c>
      <c r="S213">
        <v>0</v>
      </c>
    </row>
    <row r="214" spans="1:19" ht="15" x14ac:dyDescent="0.25">
      <c r="A214" t="s">
        <v>586</v>
      </c>
      <c r="C214" t="s">
        <v>22</v>
      </c>
      <c r="D214" t="s">
        <v>116</v>
      </c>
      <c r="E214" t="s">
        <v>34</v>
      </c>
      <c r="F214" t="s">
        <v>26</v>
      </c>
      <c r="G214">
        <v>0.27</v>
      </c>
      <c r="H214">
        <v>0</v>
      </c>
      <c r="I214">
        <v>0</v>
      </c>
      <c r="J214">
        <v>0</v>
      </c>
      <c r="K214">
        <v>0.54270000000000007</v>
      </c>
      <c r="L214">
        <v>2.1708000000000005E-3</v>
      </c>
      <c r="M214">
        <v>0</v>
      </c>
      <c r="N214">
        <v>0.86588774805920499</v>
      </c>
      <c r="O214">
        <v>0.99998402911185846</v>
      </c>
      <c r="P214">
        <v>0</v>
      </c>
      <c r="Q214">
        <v>1.9710000000000001</v>
      </c>
      <c r="R214">
        <v>1.9710000000000001</v>
      </c>
      <c r="S214">
        <v>9.3477040200000019</v>
      </c>
    </row>
    <row r="215" spans="1:19" ht="15" x14ac:dyDescent="0.25">
      <c r="A215" t="s">
        <v>587</v>
      </c>
      <c r="C215" t="s">
        <v>22</v>
      </c>
      <c r="D215" t="s">
        <v>116</v>
      </c>
      <c r="E215" t="s">
        <v>34</v>
      </c>
      <c r="F215" t="s">
        <v>26</v>
      </c>
      <c r="G215">
        <v>0</v>
      </c>
      <c r="H215">
        <v>0</v>
      </c>
      <c r="I215">
        <v>0</v>
      </c>
      <c r="J215">
        <v>0</v>
      </c>
      <c r="K215">
        <v>0</v>
      </c>
      <c r="L215">
        <v>0</v>
      </c>
      <c r="M215">
        <v>0</v>
      </c>
      <c r="N215">
        <v>0.80573530187347964</v>
      </c>
      <c r="O215">
        <v>0.99992364610504736</v>
      </c>
      <c r="P215">
        <v>0</v>
      </c>
      <c r="Q215">
        <v>0</v>
      </c>
      <c r="R215">
        <v>0</v>
      </c>
      <c r="S215">
        <v>0</v>
      </c>
    </row>
    <row r="216" spans="1:19" ht="15" x14ac:dyDescent="0.25">
      <c r="A216" t="s">
        <v>590</v>
      </c>
      <c r="C216" t="s">
        <v>22</v>
      </c>
      <c r="D216" t="s">
        <v>116</v>
      </c>
      <c r="E216" t="s">
        <v>34</v>
      </c>
      <c r="F216" t="s">
        <v>26</v>
      </c>
      <c r="G216">
        <v>0.27</v>
      </c>
      <c r="H216">
        <v>0</v>
      </c>
      <c r="I216">
        <v>0</v>
      </c>
      <c r="J216">
        <v>0</v>
      </c>
      <c r="K216">
        <v>0.54270000000000007</v>
      </c>
      <c r="L216">
        <v>2.1708000000000005E-3</v>
      </c>
      <c r="M216">
        <v>0</v>
      </c>
      <c r="N216">
        <v>0.86588774805920499</v>
      </c>
      <c r="O216">
        <v>0.99998402911185846</v>
      </c>
      <c r="P216">
        <v>0</v>
      </c>
      <c r="Q216">
        <v>1.9710000000000001</v>
      </c>
      <c r="R216">
        <v>1.9710000000000001</v>
      </c>
      <c r="S216">
        <v>9.3477040200000019</v>
      </c>
    </row>
    <row r="217" spans="1:19" ht="15" x14ac:dyDescent="0.25">
      <c r="A217" t="s">
        <v>591</v>
      </c>
      <c r="C217" t="s">
        <v>22</v>
      </c>
      <c r="D217" t="s">
        <v>116</v>
      </c>
      <c r="E217" t="s">
        <v>34</v>
      </c>
      <c r="F217" t="s">
        <v>26</v>
      </c>
      <c r="G217">
        <v>1.3634999999999999</v>
      </c>
      <c r="H217">
        <v>0</v>
      </c>
      <c r="I217">
        <v>0</v>
      </c>
      <c r="J217">
        <v>0</v>
      </c>
      <c r="K217">
        <v>2.7406350000000002</v>
      </c>
      <c r="L217">
        <v>1.0962540000000002E-2</v>
      </c>
      <c r="M217">
        <v>0</v>
      </c>
      <c r="N217">
        <v>0.91722726692541467</v>
      </c>
      <c r="O217">
        <v>0.99999783295098688</v>
      </c>
      <c r="P217">
        <v>0</v>
      </c>
      <c r="Q217">
        <v>9.9535499999999999</v>
      </c>
      <c r="R217">
        <v>9.9535499999999999</v>
      </c>
      <c r="S217">
        <v>47.205905301000001</v>
      </c>
    </row>
    <row r="218" spans="1:19" ht="15" x14ac:dyDescent="0.25">
      <c r="A218" t="s">
        <v>630</v>
      </c>
      <c r="C218" t="s">
        <v>22</v>
      </c>
      <c r="D218" t="s">
        <v>116</v>
      </c>
      <c r="E218" t="s">
        <v>34</v>
      </c>
      <c r="F218" t="s">
        <v>26</v>
      </c>
      <c r="G218">
        <v>1.3634999999999999</v>
      </c>
      <c r="H218">
        <v>0</v>
      </c>
      <c r="I218">
        <v>0</v>
      </c>
      <c r="J218">
        <v>0</v>
      </c>
      <c r="K218">
        <v>2.7406350000000002</v>
      </c>
      <c r="L218">
        <v>1.0962540000000002E-2</v>
      </c>
      <c r="M218">
        <v>0</v>
      </c>
      <c r="N218">
        <v>0.86588774805920499</v>
      </c>
      <c r="O218">
        <v>0.99998402911185846</v>
      </c>
      <c r="P218">
        <v>0</v>
      </c>
      <c r="Q218">
        <v>9.9535499999999999</v>
      </c>
      <c r="R218">
        <v>9.9535499999999999</v>
      </c>
      <c r="S218">
        <v>47.205905301000001</v>
      </c>
    </row>
    <row r="219" spans="1:19" ht="15" x14ac:dyDescent="0.25">
      <c r="A219" t="s">
        <v>631</v>
      </c>
      <c r="C219" t="s">
        <v>22</v>
      </c>
      <c r="D219" t="s">
        <v>116</v>
      </c>
      <c r="E219" t="s">
        <v>34</v>
      </c>
      <c r="F219" t="s">
        <v>26</v>
      </c>
      <c r="G219">
        <v>1.3634999999999999</v>
      </c>
      <c r="H219">
        <v>0</v>
      </c>
      <c r="I219">
        <v>0</v>
      </c>
      <c r="J219">
        <v>0</v>
      </c>
      <c r="K219">
        <v>2.7406350000000002</v>
      </c>
      <c r="L219">
        <v>1.0962540000000002E-2</v>
      </c>
      <c r="M219">
        <v>0</v>
      </c>
      <c r="N219">
        <v>0.9173593571621208</v>
      </c>
      <c r="O219">
        <v>0.99999784711462369</v>
      </c>
      <c r="P219">
        <v>0</v>
      </c>
      <c r="Q219">
        <v>9.9535499999999999</v>
      </c>
      <c r="R219">
        <v>9.9535499999999999</v>
      </c>
      <c r="S219">
        <v>47.205905301000001</v>
      </c>
    </row>
    <row r="220" spans="1:19" ht="15" x14ac:dyDescent="0.25">
      <c r="A220" t="s">
        <v>1206</v>
      </c>
      <c r="C220" t="s">
        <v>22</v>
      </c>
      <c r="D220" t="s">
        <v>116</v>
      </c>
      <c r="E220" t="s">
        <v>34</v>
      </c>
      <c r="F220" t="s">
        <v>26</v>
      </c>
      <c r="G220">
        <v>120.54900000000001</v>
      </c>
      <c r="H220">
        <v>0</v>
      </c>
      <c r="I220">
        <v>0</v>
      </c>
      <c r="J220">
        <v>0</v>
      </c>
      <c r="K220">
        <v>186.38730000000004</v>
      </c>
      <c r="L220">
        <v>0.74554920000000013</v>
      </c>
      <c r="M220">
        <v>0</v>
      </c>
      <c r="N220">
        <v>0</v>
      </c>
      <c r="O220">
        <v>0</v>
      </c>
      <c r="P220">
        <v>0</v>
      </c>
      <c r="Q220">
        <v>880.0077</v>
      </c>
      <c r="R220">
        <v>880.0077</v>
      </c>
      <c r="S220">
        <v>3413.4957139800003</v>
      </c>
    </row>
    <row r="221" spans="1:19" ht="15" x14ac:dyDescent="0.25">
      <c r="A221" t="s">
        <v>620</v>
      </c>
      <c r="C221" t="s">
        <v>46</v>
      </c>
      <c r="D221" t="s">
        <v>47</v>
      </c>
      <c r="E221" t="s">
        <v>34</v>
      </c>
      <c r="F221" t="s">
        <v>26</v>
      </c>
      <c r="G221">
        <v>0</v>
      </c>
      <c r="H221">
        <v>0</v>
      </c>
      <c r="I221">
        <v>0</v>
      </c>
      <c r="J221">
        <v>0</v>
      </c>
      <c r="K221">
        <v>0</v>
      </c>
      <c r="L221">
        <v>0</v>
      </c>
      <c r="M221">
        <v>0</v>
      </c>
      <c r="N221">
        <v>0.78286109480465094</v>
      </c>
      <c r="O221">
        <v>0.99987687844845685</v>
      </c>
      <c r="P221">
        <v>0</v>
      </c>
      <c r="Q221">
        <v>0</v>
      </c>
      <c r="R221">
        <v>0</v>
      </c>
      <c r="S221">
        <v>0</v>
      </c>
    </row>
    <row r="222" spans="1:19" ht="15" x14ac:dyDescent="0.25">
      <c r="A222" t="s">
        <v>614</v>
      </c>
      <c r="C222" t="s">
        <v>46</v>
      </c>
      <c r="D222" t="s">
        <v>47</v>
      </c>
      <c r="E222" t="s">
        <v>34</v>
      </c>
      <c r="F222" t="s">
        <v>26</v>
      </c>
      <c r="G222">
        <v>0</v>
      </c>
      <c r="H222">
        <v>0</v>
      </c>
      <c r="I222">
        <v>0</v>
      </c>
      <c r="J222">
        <v>0</v>
      </c>
      <c r="K222">
        <v>0</v>
      </c>
      <c r="L222">
        <v>0</v>
      </c>
      <c r="M222">
        <v>0</v>
      </c>
      <c r="N222">
        <v>0.51044111281980853</v>
      </c>
      <c r="O222">
        <v>0.99499292844029141</v>
      </c>
      <c r="P222">
        <v>0</v>
      </c>
      <c r="Q222">
        <v>0</v>
      </c>
      <c r="R222">
        <v>0</v>
      </c>
      <c r="S222">
        <v>0</v>
      </c>
    </row>
    <row r="223" spans="1:19" ht="15" x14ac:dyDescent="0.25">
      <c r="A223" t="s">
        <v>634</v>
      </c>
      <c r="C223" t="s">
        <v>46</v>
      </c>
      <c r="D223" t="s">
        <v>47</v>
      </c>
      <c r="E223" t="s">
        <v>34</v>
      </c>
      <c r="F223" t="s">
        <v>26</v>
      </c>
      <c r="G223">
        <v>0</v>
      </c>
      <c r="H223">
        <v>0</v>
      </c>
      <c r="I223">
        <v>0</v>
      </c>
      <c r="J223">
        <v>0</v>
      </c>
      <c r="K223">
        <v>0</v>
      </c>
      <c r="L223">
        <v>0</v>
      </c>
      <c r="M223">
        <v>0</v>
      </c>
      <c r="N223">
        <v>0.90385349027889617</v>
      </c>
      <c r="O223">
        <v>0.99999598648285748</v>
      </c>
      <c r="P223">
        <v>0</v>
      </c>
      <c r="Q223">
        <v>0</v>
      </c>
      <c r="R223">
        <v>0</v>
      </c>
      <c r="S223">
        <v>0</v>
      </c>
    </row>
    <row r="224" spans="1:19" ht="15" x14ac:dyDescent="0.25">
      <c r="A224" t="s">
        <v>629</v>
      </c>
      <c r="C224" t="s">
        <v>46</v>
      </c>
      <c r="D224" t="s">
        <v>47</v>
      </c>
      <c r="E224" t="s">
        <v>34</v>
      </c>
      <c r="F224" t="s">
        <v>26</v>
      </c>
      <c r="G224">
        <v>0</v>
      </c>
      <c r="H224">
        <v>0</v>
      </c>
      <c r="I224">
        <v>0</v>
      </c>
      <c r="J224">
        <v>0</v>
      </c>
      <c r="K224">
        <v>0</v>
      </c>
      <c r="L224">
        <v>0</v>
      </c>
      <c r="M224">
        <v>0</v>
      </c>
      <c r="N224">
        <v>0.86588774805920499</v>
      </c>
      <c r="O224">
        <v>0.99998402911185846</v>
      </c>
      <c r="P224">
        <v>0</v>
      </c>
      <c r="Q224">
        <v>0</v>
      </c>
      <c r="R224">
        <v>0</v>
      </c>
      <c r="S224">
        <v>0</v>
      </c>
    </row>
    <row r="225" spans="1:19" ht="15" x14ac:dyDescent="0.25">
      <c r="A225" t="s">
        <v>603</v>
      </c>
      <c r="C225" t="s">
        <v>46</v>
      </c>
      <c r="D225" t="s">
        <v>47</v>
      </c>
      <c r="E225" t="s">
        <v>34</v>
      </c>
      <c r="F225" t="s">
        <v>26</v>
      </c>
      <c r="G225">
        <v>0</v>
      </c>
      <c r="H225">
        <v>0</v>
      </c>
      <c r="I225">
        <v>0</v>
      </c>
      <c r="J225">
        <v>0</v>
      </c>
      <c r="K225">
        <v>0</v>
      </c>
      <c r="L225">
        <v>0</v>
      </c>
      <c r="M225">
        <v>0</v>
      </c>
      <c r="N225">
        <v>0.86588774805920499</v>
      </c>
      <c r="O225">
        <v>0.99998402911185846</v>
      </c>
      <c r="P225">
        <v>0</v>
      </c>
      <c r="Q225">
        <v>0</v>
      </c>
      <c r="R225">
        <v>0</v>
      </c>
      <c r="S225">
        <v>0</v>
      </c>
    </row>
    <row r="226" spans="1:19" ht="15" x14ac:dyDescent="0.25">
      <c r="A226" t="s">
        <v>586</v>
      </c>
      <c r="C226" t="s">
        <v>46</v>
      </c>
      <c r="D226" t="s">
        <v>47</v>
      </c>
      <c r="E226" t="s">
        <v>34</v>
      </c>
      <c r="F226" t="s">
        <v>26</v>
      </c>
      <c r="G226">
        <v>0</v>
      </c>
      <c r="H226">
        <v>0</v>
      </c>
      <c r="I226">
        <v>0</v>
      </c>
      <c r="J226">
        <v>0</v>
      </c>
      <c r="K226">
        <v>0</v>
      </c>
      <c r="L226">
        <v>0</v>
      </c>
      <c r="M226">
        <v>0</v>
      </c>
      <c r="N226">
        <v>0.86588774805920499</v>
      </c>
      <c r="O226">
        <v>0.99998402911185846</v>
      </c>
      <c r="P226">
        <v>0</v>
      </c>
      <c r="Q226">
        <v>0</v>
      </c>
      <c r="R226">
        <v>0</v>
      </c>
      <c r="S226">
        <v>0</v>
      </c>
    </row>
    <row r="227" spans="1:19" ht="15" x14ac:dyDescent="0.25">
      <c r="A227" t="s">
        <v>587</v>
      </c>
      <c r="C227" t="s">
        <v>46</v>
      </c>
      <c r="D227" t="s">
        <v>47</v>
      </c>
      <c r="E227" t="s">
        <v>34</v>
      </c>
      <c r="F227" t="s">
        <v>26</v>
      </c>
      <c r="G227">
        <v>0</v>
      </c>
      <c r="H227">
        <v>0</v>
      </c>
      <c r="I227">
        <v>0</v>
      </c>
      <c r="J227">
        <v>0</v>
      </c>
      <c r="K227">
        <v>0</v>
      </c>
      <c r="L227">
        <v>0</v>
      </c>
      <c r="M227">
        <v>0</v>
      </c>
      <c r="N227">
        <v>0.80573530187347964</v>
      </c>
      <c r="O227">
        <v>0.99992364610504736</v>
      </c>
      <c r="P227">
        <v>0</v>
      </c>
      <c r="Q227">
        <v>0</v>
      </c>
      <c r="R227">
        <v>0</v>
      </c>
      <c r="S227">
        <v>0</v>
      </c>
    </row>
    <row r="228" spans="1:19" ht="15" x14ac:dyDescent="0.25">
      <c r="A228" t="s">
        <v>636</v>
      </c>
      <c r="C228" t="s">
        <v>46</v>
      </c>
      <c r="D228" t="s">
        <v>47</v>
      </c>
      <c r="E228" t="s">
        <v>34</v>
      </c>
      <c r="F228" t="s">
        <v>26</v>
      </c>
      <c r="G228">
        <v>0</v>
      </c>
      <c r="H228">
        <v>0</v>
      </c>
      <c r="I228">
        <v>0</v>
      </c>
      <c r="J228">
        <v>0</v>
      </c>
      <c r="K228">
        <v>0</v>
      </c>
      <c r="L228">
        <v>0</v>
      </c>
      <c r="M228">
        <v>0</v>
      </c>
      <c r="N228">
        <v>0.99985601036750238</v>
      </c>
      <c r="O228">
        <v>1</v>
      </c>
      <c r="P228">
        <v>0</v>
      </c>
      <c r="Q228">
        <v>0</v>
      </c>
      <c r="R228">
        <v>0</v>
      </c>
      <c r="S228">
        <v>0</v>
      </c>
    </row>
    <row r="229" spans="1:19" ht="15" x14ac:dyDescent="0.25">
      <c r="A229" t="s">
        <v>590</v>
      </c>
      <c r="C229" t="s">
        <v>46</v>
      </c>
      <c r="D229" t="s">
        <v>47</v>
      </c>
      <c r="E229" t="s">
        <v>34</v>
      </c>
      <c r="F229" t="s">
        <v>26</v>
      </c>
      <c r="G229">
        <v>0</v>
      </c>
      <c r="H229">
        <v>0</v>
      </c>
      <c r="I229">
        <v>0</v>
      </c>
      <c r="J229">
        <v>0</v>
      </c>
      <c r="K229">
        <v>0</v>
      </c>
      <c r="L229">
        <v>0</v>
      </c>
      <c r="M229">
        <v>0</v>
      </c>
      <c r="N229">
        <v>0.86588774805920499</v>
      </c>
      <c r="O229">
        <v>0.99998402911185846</v>
      </c>
      <c r="P229">
        <v>0</v>
      </c>
      <c r="Q229">
        <v>0</v>
      </c>
      <c r="R229">
        <v>0</v>
      </c>
      <c r="S229">
        <v>0</v>
      </c>
    </row>
    <row r="230" spans="1:19" ht="15" x14ac:dyDescent="0.25">
      <c r="A230" t="s">
        <v>592</v>
      </c>
      <c r="C230" t="s">
        <v>46</v>
      </c>
      <c r="D230" t="s">
        <v>47</v>
      </c>
      <c r="E230" t="s">
        <v>34</v>
      </c>
      <c r="F230" t="s">
        <v>26</v>
      </c>
      <c r="G230">
        <v>0</v>
      </c>
      <c r="H230">
        <v>0</v>
      </c>
      <c r="I230">
        <v>0</v>
      </c>
      <c r="J230">
        <v>0</v>
      </c>
      <c r="K230">
        <v>0</v>
      </c>
      <c r="L230">
        <v>0</v>
      </c>
      <c r="M230">
        <v>0</v>
      </c>
      <c r="N230">
        <v>0.86588774805920499</v>
      </c>
      <c r="O230">
        <v>0.99998402911185846</v>
      </c>
      <c r="P230">
        <v>0</v>
      </c>
      <c r="Q230">
        <v>0</v>
      </c>
      <c r="R230">
        <v>0</v>
      </c>
      <c r="S230">
        <v>0</v>
      </c>
    </row>
    <row r="231" spans="1:19" ht="15" x14ac:dyDescent="0.25">
      <c r="A231" t="s">
        <v>591</v>
      </c>
      <c r="C231" t="s">
        <v>46</v>
      </c>
      <c r="D231" t="s">
        <v>47</v>
      </c>
      <c r="E231" t="s">
        <v>34</v>
      </c>
      <c r="F231" t="s">
        <v>26</v>
      </c>
      <c r="G231">
        <v>0</v>
      </c>
      <c r="H231">
        <v>0</v>
      </c>
      <c r="I231">
        <v>0</v>
      </c>
      <c r="J231">
        <v>0</v>
      </c>
      <c r="K231">
        <v>0</v>
      </c>
      <c r="L231">
        <v>0</v>
      </c>
      <c r="M231">
        <v>0</v>
      </c>
      <c r="N231">
        <v>0.91722726692541467</v>
      </c>
      <c r="O231">
        <v>0.99999783295098688</v>
      </c>
      <c r="P231">
        <v>0</v>
      </c>
      <c r="Q231">
        <v>0</v>
      </c>
      <c r="R231">
        <v>0</v>
      </c>
      <c r="S231">
        <v>0</v>
      </c>
    </row>
    <row r="232" spans="1:19" ht="15" x14ac:dyDescent="0.25">
      <c r="A232" t="s">
        <v>617</v>
      </c>
      <c r="C232" t="s">
        <v>46</v>
      </c>
      <c r="D232" t="s">
        <v>47</v>
      </c>
      <c r="E232" t="s">
        <v>34</v>
      </c>
      <c r="F232" t="s">
        <v>26</v>
      </c>
      <c r="G232">
        <v>0</v>
      </c>
      <c r="H232">
        <v>0</v>
      </c>
      <c r="I232">
        <v>0</v>
      </c>
      <c r="J232">
        <v>0</v>
      </c>
      <c r="K232">
        <v>0</v>
      </c>
      <c r="L232">
        <v>0</v>
      </c>
      <c r="M232">
        <v>0</v>
      </c>
      <c r="N232">
        <v>0.86588774805920499</v>
      </c>
      <c r="O232">
        <v>0.99998402911185846</v>
      </c>
      <c r="P232">
        <v>0</v>
      </c>
      <c r="Q232">
        <v>0</v>
      </c>
      <c r="R232">
        <v>0</v>
      </c>
      <c r="S232">
        <v>0</v>
      </c>
    </row>
    <row r="233" spans="1:19" ht="15" x14ac:dyDescent="0.25">
      <c r="A233" t="s">
        <v>618</v>
      </c>
      <c r="C233" t="s">
        <v>46</v>
      </c>
      <c r="D233" t="s">
        <v>47</v>
      </c>
      <c r="E233" t="s">
        <v>34</v>
      </c>
      <c r="F233" t="s">
        <v>26</v>
      </c>
      <c r="G233">
        <v>0</v>
      </c>
      <c r="H233">
        <v>0</v>
      </c>
      <c r="I233">
        <v>0</v>
      </c>
      <c r="J233">
        <v>0</v>
      </c>
      <c r="K233">
        <v>0</v>
      </c>
      <c r="L233">
        <v>0</v>
      </c>
      <c r="M233">
        <v>0</v>
      </c>
      <c r="N233">
        <v>0.86588774805920499</v>
      </c>
      <c r="O233">
        <v>0.99998402911185846</v>
      </c>
      <c r="P233">
        <v>0</v>
      </c>
      <c r="Q233">
        <v>0</v>
      </c>
      <c r="R233">
        <v>0</v>
      </c>
      <c r="S233">
        <v>0</v>
      </c>
    </row>
    <row r="234" spans="1:19" ht="15" x14ac:dyDescent="0.25">
      <c r="A234" t="s">
        <v>631</v>
      </c>
      <c r="C234" t="s">
        <v>46</v>
      </c>
      <c r="D234" t="s">
        <v>47</v>
      </c>
      <c r="E234" t="s">
        <v>34</v>
      </c>
      <c r="F234" t="s">
        <v>26</v>
      </c>
      <c r="G234">
        <v>0</v>
      </c>
      <c r="H234">
        <v>0</v>
      </c>
      <c r="I234">
        <v>0</v>
      </c>
      <c r="J234">
        <v>0</v>
      </c>
      <c r="K234">
        <v>0</v>
      </c>
      <c r="L234">
        <v>0</v>
      </c>
      <c r="M234">
        <v>0</v>
      </c>
      <c r="N234">
        <v>0.9173593571621208</v>
      </c>
      <c r="O234">
        <v>0.99999784711462369</v>
      </c>
      <c r="P234">
        <v>0</v>
      </c>
      <c r="Q234">
        <v>0</v>
      </c>
      <c r="R234">
        <v>0</v>
      </c>
      <c r="S234">
        <v>0</v>
      </c>
    </row>
    <row r="235" spans="1:19" ht="15" x14ac:dyDescent="0.25">
      <c r="A235" t="s">
        <v>81</v>
      </c>
      <c r="C235" t="s">
        <v>46</v>
      </c>
      <c r="D235" t="s">
        <v>47</v>
      </c>
      <c r="E235" t="s">
        <v>34</v>
      </c>
      <c r="F235" t="s">
        <v>26</v>
      </c>
      <c r="G235">
        <v>0</v>
      </c>
      <c r="H235">
        <v>0</v>
      </c>
      <c r="I235">
        <v>0</v>
      </c>
      <c r="J235">
        <v>0</v>
      </c>
      <c r="K235">
        <v>0</v>
      </c>
      <c r="L235">
        <v>0</v>
      </c>
      <c r="M235">
        <v>0</v>
      </c>
      <c r="N235">
        <v>0.8911878885041844</v>
      </c>
      <c r="O235">
        <v>0.99999330652801821</v>
      </c>
      <c r="P235">
        <v>0</v>
      </c>
      <c r="Q235">
        <v>0</v>
      </c>
      <c r="R235">
        <v>0</v>
      </c>
      <c r="S235">
        <v>0</v>
      </c>
    </row>
    <row r="236" spans="1:19" ht="15" x14ac:dyDescent="0.25">
      <c r="A236" t="s">
        <v>641</v>
      </c>
      <c r="C236" t="s">
        <v>46</v>
      </c>
      <c r="D236" t="s">
        <v>47</v>
      </c>
      <c r="E236" t="s">
        <v>34</v>
      </c>
      <c r="F236" t="s">
        <v>26</v>
      </c>
      <c r="G236">
        <v>0</v>
      </c>
      <c r="H236">
        <v>0</v>
      </c>
      <c r="I236">
        <v>0</v>
      </c>
      <c r="J236">
        <v>0</v>
      </c>
      <c r="K236">
        <v>0</v>
      </c>
      <c r="L236">
        <v>0</v>
      </c>
      <c r="M236">
        <v>0</v>
      </c>
      <c r="N236">
        <v>0.78286109480465094</v>
      </c>
      <c r="O236">
        <v>0.99987687844845685</v>
      </c>
      <c r="P236">
        <v>0</v>
      </c>
      <c r="Q236">
        <v>0</v>
      </c>
      <c r="R236">
        <v>0</v>
      </c>
      <c r="S236">
        <v>0</v>
      </c>
    </row>
    <row r="237" spans="1:19" ht="15" x14ac:dyDescent="0.25">
      <c r="A237" t="s">
        <v>614</v>
      </c>
      <c r="C237" t="s">
        <v>46</v>
      </c>
      <c r="D237" t="s">
        <v>47</v>
      </c>
      <c r="E237" t="s">
        <v>34</v>
      </c>
      <c r="F237" t="s">
        <v>26</v>
      </c>
      <c r="G237">
        <v>0</v>
      </c>
      <c r="H237">
        <v>0</v>
      </c>
      <c r="I237">
        <v>0</v>
      </c>
      <c r="J237">
        <v>0</v>
      </c>
      <c r="K237">
        <v>0</v>
      </c>
      <c r="L237">
        <v>0</v>
      </c>
      <c r="M237">
        <v>0</v>
      </c>
      <c r="N237">
        <v>0.51044111281980853</v>
      </c>
      <c r="O237">
        <v>0.99499292844029141</v>
      </c>
      <c r="P237">
        <v>0</v>
      </c>
      <c r="Q237">
        <v>0</v>
      </c>
      <c r="R237">
        <v>0</v>
      </c>
      <c r="S237">
        <v>0</v>
      </c>
    </row>
    <row r="238" spans="1:19" ht="15" x14ac:dyDescent="0.25">
      <c r="A238" t="s">
        <v>599</v>
      </c>
      <c r="C238" t="s">
        <v>46</v>
      </c>
      <c r="D238" t="s">
        <v>47</v>
      </c>
      <c r="E238" t="s">
        <v>34</v>
      </c>
      <c r="F238" t="s">
        <v>26</v>
      </c>
      <c r="G238">
        <v>0</v>
      </c>
      <c r="H238">
        <v>0</v>
      </c>
      <c r="I238">
        <v>0</v>
      </c>
      <c r="J238">
        <v>0</v>
      </c>
      <c r="K238">
        <v>0</v>
      </c>
      <c r="L238">
        <v>0</v>
      </c>
      <c r="M238">
        <v>0</v>
      </c>
      <c r="N238">
        <v>0.93053089581120574</v>
      </c>
      <c r="O238">
        <v>0.99999894285752178</v>
      </c>
      <c r="P238">
        <v>0</v>
      </c>
      <c r="Q238">
        <v>0</v>
      </c>
      <c r="R238">
        <v>0</v>
      </c>
      <c r="S238">
        <v>0</v>
      </c>
    </row>
    <row r="239" spans="1:19" ht="15" x14ac:dyDescent="0.25">
      <c r="A239" t="s">
        <v>583</v>
      </c>
      <c r="C239" t="s">
        <v>46</v>
      </c>
      <c r="D239" t="s">
        <v>47</v>
      </c>
      <c r="E239" t="s">
        <v>34</v>
      </c>
      <c r="F239" t="s">
        <v>26</v>
      </c>
      <c r="G239">
        <v>0</v>
      </c>
      <c r="H239">
        <v>0</v>
      </c>
      <c r="I239">
        <v>0</v>
      </c>
      <c r="J239">
        <v>0</v>
      </c>
      <c r="K239">
        <v>0</v>
      </c>
      <c r="L239">
        <v>0</v>
      </c>
      <c r="M239">
        <v>0</v>
      </c>
      <c r="N239">
        <v>0.9173593571621208</v>
      </c>
      <c r="O239">
        <v>0.99999784711462369</v>
      </c>
      <c r="P239">
        <v>0</v>
      </c>
      <c r="Q239">
        <v>0</v>
      </c>
      <c r="R239">
        <v>0</v>
      </c>
      <c r="S239">
        <v>0</v>
      </c>
    </row>
    <row r="240" spans="1:19" ht="15" x14ac:dyDescent="0.25">
      <c r="A240" t="s">
        <v>586</v>
      </c>
      <c r="C240" t="s">
        <v>46</v>
      </c>
      <c r="D240" t="s">
        <v>47</v>
      </c>
      <c r="E240" t="s">
        <v>34</v>
      </c>
      <c r="F240" t="s">
        <v>26</v>
      </c>
      <c r="G240">
        <v>0</v>
      </c>
      <c r="H240">
        <v>0</v>
      </c>
      <c r="I240">
        <v>0</v>
      </c>
      <c r="J240">
        <v>0</v>
      </c>
      <c r="K240">
        <v>0</v>
      </c>
      <c r="L240">
        <v>0</v>
      </c>
      <c r="M240">
        <v>0</v>
      </c>
      <c r="N240">
        <v>0.86588774805920499</v>
      </c>
      <c r="O240">
        <v>0.99998402911185846</v>
      </c>
      <c r="P240">
        <v>0</v>
      </c>
      <c r="Q240">
        <v>0</v>
      </c>
      <c r="R240">
        <v>0</v>
      </c>
      <c r="S240">
        <v>0</v>
      </c>
    </row>
    <row r="241" spans="1:19" ht="15" x14ac:dyDescent="0.25">
      <c r="A241" t="s">
        <v>587</v>
      </c>
      <c r="C241" t="s">
        <v>46</v>
      </c>
      <c r="D241" t="s">
        <v>47</v>
      </c>
      <c r="E241" t="s">
        <v>34</v>
      </c>
      <c r="F241" t="s">
        <v>26</v>
      </c>
      <c r="G241">
        <v>0</v>
      </c>
      <c r="H241">
        <v>0</v>
      </c>
      <c r="I241">
        <v>0</v>
      </c>
      <c r="J241">
        <v>0</v>
      </c>
      <c r="K241">
        <v>0</v>
      </c>
      <c r="L241">
        <v>0</v>
      </c>
      <c r="M241">
        <v>0</v>
      </c>
      <c r="N241">
        <v>0.80573530187347964</v>
      </c>
      <c r="O241">
        <v>0.99992364610504736</v>
      </c>
      <c r="P241">
        <v>0</v>
      </c>
      <c r="Q241">
        <v>0</v>
      </c>
      <c r="R241">
        <v>0</v>
      </c>
      <c r="S241">
        <v>0</v>
      </c>
    </row>
    <row r="242" spans="1:19" ht="15" x14ac:dyDescent="0.25">
      <c r="A242" t="s">
        <v>588</v>
      </c>
      <c r="C242" t="s">
        <v>46</v>
      </c>
      <c r="D242" t="s">
        <v>47</v>
      </c>
      <c r="E242" t="s">
        <v>34</v>
      </c>
      <c r="F242" t="s">
        <v>26</v>
      </c>
      <c r="G242">
        <v>0</v>
      </c>
      <c r="H242">
        <v>0</v>
      </c>
      <c r="I242">
        <v>0</v>
      </c>
      <c r="J242">
        <v>0</v>
      </c>
      <c r="K242">
        <v>0</v>
      </c>
      <c r="L242">
        <v>0</v>
      </c>
      <c r="M242">
        <v>0</v>
      </c>
      <c r="N242">
        <v>0.86588774805920499</v>
      </c>
      <c r="O242">
        <v>0.99998402911185846</v>
      </c>
      <c r="P242">
        <v>0</v>
      </c>
      <c r="Q242">
        <v>0</v>
      </c>
      <c r="R242">
        <v>0</v>
      </c>
      <c r="S242">
        <v>0</v>
      </c>
    </row>
    <row r="243" spans="1:19" ht="15" x14ac:dyDescent="0.25">
      <c r="A243" t="s">
        <v>590</v>
      </c>
      <c r="C243" t="s">
        <v>46</v>
      </c>
      <c r="D243" t="s">
        <v>47</v>
      </c>
      <c r="E243" t="s">
        <v>34</v>
      </c>
      <c r="F243" t="s">
        <v>26</v>
      </c>
      <c r="G243">
        <v>0</v>
      </c>
      <c r="H243">
        <v>0</v>
      </c>
      <c r="I243">
        <v>0</v>
      </c>
      <c r="J243">
        <v>0</v>
      </c>
      <c r="K243">
        <v>0</v>
      </c>
      <c r="L243">
        <v>0</v>
      </c>
      <c r="M243">
        <v>0</v>
      </c>
      <c r="N243">
        <v>0.86588774805920499</v>
      </c>
      <c r="O243">
        <v>0.99998402911185846</v>
      </c>
      <c r="P243">
        <v>0</v>
      </c>
      <c r="Q243">
        <v>0</v>
      </c>
      <c r="R243">
        <v>0</v>
      </c>
      <c r="S243">
        <v>0</v>
      </c>
    </row>
    <row r="244" spans="1:19" ht="15" x14ac:dyDescent="0.25">
      <c r="A244" t="s">
        <v>646</v>
      </c>
      <c r="C244" t="s">
        <v>46</v>
      </c>
      <c r="D244" t="s">
        <v>47</v>
      </c>
      <c r="E244" t="s">
        <v>34</v>
      </c>
      <c r="F244" t="s">
        <v>26</v>
      </c>
      <c r="G244">
        <v>0</v>
      </c>
      <c r="H244">
        <v>0</v>
      </c>
      <c r="I244">
        <v>0</v>
      </c>
      <c r="J244">
        <v>0</v>
      </c>
      <c r="K244">
        <v>0</v>
      </c>
      <c r="L244">
        <v>0</v>
      </c>
      <c r="M244">
        <v>0</v>
      </c>
      <c r="N244">
        <v>0</v>
      </c>
      <c r="O244">
        <v>0</v>
      </c>
      <c r="P244">
        <v>0</v>
      </c>
      <c r="Q244">
        <v>0</v>
      </c>
      <c r="R244">
        <v>0</v>
      </c>
      <c r="S244">
        <v>0</v>
      </c>
    </row>
    <row r="245" spans="1:19" ht="15" x14ac:dyDescent="0.25">
      <c r="A245" t="s">
        <v>592</v>
      </c>
      <c r="C245" t="s">
        <v>46</v>
      </c>
      <c r="D245" t="s">
        <v>47</v>
      </c>
      <c r="E245" t="s">
        <v>34</v>
      </c>
      <c r="F245" t="s">
        <v>26</v>
      </c>
      <c r="G245">
        <v>0</v>
      </c>
      <c r="H245">
        <v>0</v>
      </c>
      <c r="I245">
        <v>0</v>
      </c>
      <c r="J245">
        <v>0</v>
      </c>
      <c r="K245">
        <v>0</v>
      </c>
      <c r="L245">
        <v>0</v>
      </c>
      <c r="M245">
        <v>0</v>
      </c>
      <c r="N245">
        <v>0.86588774805920499</v>
      </c>
      <c r="O245">
        <v>0.99998402911185846</v>
      </c>
      <c r="P245">
        <v>0</v>
      </c>
      <c r="Q245">
        <v>0</v>
      </c>
      <c r="R245">
        <v>0</v>
      </c>
      <c r="S245">
        <v>0</v>
      </c>
    </row>
    <row r="246" spans="1:19" ht="15" x14ac:dyDescent="0.25">
      <c r="A246" t="s">
        <v>591</v>
      </c>
      <c r="C246" t="s">
        <v>46</v>
      </c>
      <c r="D246" t="s">
        <v>47</v>
      </c>
      <c r="E246" t="s">
        <v>34</v>
      </c>
      <c r="F246" t="s">
        <v>26</v>
      </c>
      <c r="G246">
        <v>0</v>
      </c>
      <c r="H246">
        <v>0</v>
      </c>
      <c r="I246">
        <v>0</v>
      </c>
      <c r="J246">
        <v>0</v>
      </c>
      <c r="K246">
        <v>0</v>
      </c>
      <c r="L246">
        <v>0</v>
      </c>
      <c r="M246">
        <v>0</v>
      </c>
      <c r="N246">
        <v>0.91722726692541467</v>
      </c>
      <c r="O246">
        <v>0.99999783295098688</v>
      </c>
      <c r="P246">
        <v>0</v>
      </c>
      <c r="Q246">
        <v>0</v>
      </c>
      <c r="R246">
        <v>0</v>
      </c>
      <c r="S246">
        <v>0</v>
      </c>
    </row>
    <row r="247" spans="1:19" ht="15" x14ac:dyDescent="0.25">
      <c r="A247" t="s">
        <v>617</v>
      </c>
      <c r="C247" t="s">
        <v>46</v>
      </c>
      <c r="D247" t="s">
        <v>47</v>
      </c>
      <c r="E247" t="s">
        <v>34</v>
      </c>
      <c r="F247" t="s">
        <v>26</v>
      </c>
      <c r="G247">
        <v>0</v>
      </c>
      <c r="H247">
        <v>0</v>
      </c>
      <c r="I247">
        <v>0</v>
      </c>
      <c r="J247">
        <v>0</v>
      </c>
      <c r="K247">
        <v>0</v>
      </c>
      <c r="L247">
        <v>0</v>
      </c>
      <c r="M247">
        <v>0</v>
      </c>
      <c r="N247">
        <v>0.86588774805920499</v>
      </c>
      <c r="O247">
        <v>0.99998402911185846</v>
      </c>
      <c r="P247">
        <v>0</v>
      </c>
      <c r="Q247">
        <v>0</v>
      </c>
      <c r="R247">
        <v>0</v>
      </c>
      <c r="S247">
        <v>0</v>
      </c>
    </row>
    <row r="248" spans="1:19" ht="15" x14ac:dyDescent="0.25">
      <c r="A248" t="s">
        <v>618</v>
      </c>
      <c r="C248" t="s">
        <v>46</v>
      </c>
      <c r="D248" t="s">
        <v>47</v>
      </c>
      <c r="E248" t="s">
        <v>34</v>
      </c>
      <c r="F248" t="s">
        <v>26</v>
      </c>
      <c r="G248">
        <v>0</v>
      </c>
      <c r="H248">
        <v>0</v>
      </c>
      <c r="I248">
        <v>0</v>
      </c>
      <c r="J248">
        <v>0</v>
      </c>
      <c r="K248">
        <v>0</v>
      </c>
      <c r="L248">
        <v>0</v>
      </c>
      <c r="M248">
        <v>0</v>
      </c>
      <c r="N248">
        <v>0.86588774805920499</v>
      </c>
      <c r="O248">
        <v>0.99998402911185846</v>
      </c>
      <c r="P248">
        <v>0</v>
      </c>
      <c r="Q248">
        <v>0</v>
      </c>
      <c r="R248">
        <v>0</v>
      </c>
      <c r="S248">
        <v>0</v>
      </c>
    </row>
    <row r="249" spans="1:19" ht="15" x14ac:dyDescent="0.25">
      <c r="A249" t="s">
        <v>647</v>
      </c>
      <c r="C249" t="s">
        <v>46</v>
      </c>
      <c r="D249" t="s">
        <v>47</v>
      </c>
      <c r="E249" t="s">
        <v>34</v>
      </c>
      <c r="F249" t="s">
        <v>26</v>
      </c>
      <c r="G249">
        <v>0</v>
      </c>
      <c r="H249">
        <v>0</v>
      </c>
      <c r="I249">
        <v>0</v>
      </c>
      <c r="J249">
        <v>0</v>
      </c>
      <c r="K249">
        <v>0</v>
      </c>
      <c r="L249">
        <v>0</v>
      </c>
      <c r="M249">
        <v>0</v>
      </c>
      <c r="N249">
        <v>0.89569081330094624</v>
      </c>
      <c r="O249">
        <v>0.99999438070700775</v>
      </c>
      <c r="P249">
        <v>0</v>
      </c>
      <c r="Q249">
        <v>0</v>
      </c>
      <c r="R249">
        <v>0</v>
      </c>
      <c r="S249">
        <v>0</v>
      </c>
    </row>
    <row r="250" spans="1:19" ht="15" x14ac:dyDescent="0.25">
      <c r="A250" t="s">
        <v>633</v>
      </c>
      <c r="C250" t="s">
        <v>46</v>
      </c>
      <c r="D250" t="s">
        <v>47</v>
      </c>
      <c r="E250" t="s">
        <v>34</v>
      </c>
      <c r="F250" t="s">
        <v>26</v>
      </c>
      <c r="G250">
        <v>0</v>
      </c>
      <c r="H250">
        <v>0</v>
      </c>
      <c r="I250">
        <v>0</v>
      </c>
      <c r="J250">
        <v>0</v>
      </c>
      <c r="K250">
        <v>0</v>
      </c>
      <c r="L250">
        <v>0</v>
      </c>
      <c r="M250">
        <v>0</v>
      </c>
      <c r="N250">
        <v>0.51044111281980853</v>
      </c>
      <c r="O250">
        <v>0.99499292844029141</v>
      </c>
      <c r="P250">
        <v>0</v>
      </c>
      <c r="Q250">
        <v>0</v>
      </c>
      <c r="R250">
        <v>0</v>
      </c>
      <c r="S250">
        <v>0</v>
      </c>
    </row>
    <row r="251" spans="1:19" ht="15" x14ac:dyDescent="0.25">
      <c r="A251" t="s">
        <v>599</v>
      </c>
      <c r="C251" t="s">
        <v>46</v>
      </c>
      <c r="D251" t="s">
        <v>47</v>
      </c>
      <c r="E251" t="s">
        <v>34</v>
      </c>
      <c r="F251" t="s">
        <v>26</v>
      </c>
      <c r="G251">
        <v>0</v>
      </c>
      <c r="H251">
        <v>0</v>
      </c>
      <c r="I251">
        <v>0</v>
      </c>
      <c r="J251">
        <v>0</v>
      </c>
      <c r="K251">
        <v>0</v>
      </c>
      <c r="L251">
        <v>0</v>
      </c>
      <c r="M251">
        <v>0</v>
      </c>
      <c r="N251">
        <v>0.93053089581120574</v>
      </c>
      <c r="O251">
        <v>0.99999894285752178</v>
      </c>
      <c r="P251">
        <v>0</v>
      </c>
      <c r="Q251">
        <v>0</v>
      </c>
      <c r="R251">
        <v>0</v>
      </c>
      <c r="S251">
        <v>0</v>
      </c>
    </row>
    <row r="252" spans="1:19" ht="15" x14ac:dyDescent="0.25">
      <c r="A252" t="s">
        <v>583</v>
      </c>
      <c r="C252" t="s">
        <v>46</v>
      </c>
      <c r="D252" t="s">
        <v>47</v>
      </c>
      <c r="E252" t="s">
        <v>34</v>
      </c>
      <c r="F252" t="s">
        <v>26</v>
      </c>
      <c r="G252">
        <v>0</v>
      </c>
      <c r="H252">
        <v>0</v>
      </c>
      <c r="I252">
        <v>0</v>
      </c>
      <c r="J252">
        <v>0</v>
      </c>
      <c r="K252">
        <v>0</v>
      </c>
      <c r="L252">
        <v>0</v>
      </c>
      <c r="M252">
        <v>0</v>
      </c>
      <c r="N252">
        <v>0.9173593571621208</v>
      </c>
      <c r="O252">
        <v>0.99999784711462369</v>
      </c>
      <c r="P252">
        <v>0</v>
      </c>
      <c r="Q252">
        <v>0</v>
      </c>
      <c r="R252">
        <v>0</v>
      </c>
      <c r="S252">
        <v>0</v>
      </c>
    </row>
    <row r="253" spans="1:19" ht="15" x14ac:dyDescent="0.25">
      <c r="A253" t="s">
        <v>627</v>
      </c>
      <c r="C253" t="s">
        <v>46</v>
      </c>
      <c r="D253" t="s">
        <v>47</v>
      </c>
      <c r="E253" t="s">
        <v>34</v>
      </c>
      <c r="F253" t="s">
        <v>26</v>
      </c>
      <c r="G253">
        <v>0</v>
      </c>
      <c r="H253">
        <v>0</v>
      </c>
      <c r="I253">
        <v>0</v>
      </c>
      <c r="J253">
        <v>0</v>
      </c>
      <c r="K253">
        <v>0</v>
      </c>
      <c r="L253">
        <v>0</v>
      </c>
      <c r="M253">
        <v>0</v>
      </c>
      <c r="N253">
        <v>0.86588774805920499</v>
      </c>
      <c r="O253">
        <v>0.99998402911185846</v>
      </c>
      <c r="P253">
        <v>0</v>
      </c>
      <c r="Q253">
        <v>0</v>
      </c>
      <c r="R253">
        <v>0</v>
      </c>
      <c r="S253">
        <v>0</v>
      </c>
    </row>
    <row r="254" spans="1:19" ht="15" x14ac:dyDescent="0.25">
      <c r="A254" t="s">
        <v>649</v>
      </c>
      <c r="C254" t="s">
        <v>46</v>
      </c>
      <c r="D254" t="s">
        <v>47</v>
      </c>
      <c r="E254" t="s">
        <v>34</v>
      </c>
      <c r="F254" t="s">
        <v>26</v>
      </c>
      <c r="G254">
        <v>0</v>
      </c>
      <c r="H254">
        <v>0</v>
      </c>
      <c r="I254">
        <v>0</v>
      </c>
      <c r="J254">
        <v>0</v>
      </c>
      <c r="K254">
        <v>0</v>
      </c>
      <c r="L254">
        <v>0</v>
      </c>
      <c r="M254">
        <v>0</v>
      </c>
      <c r="N254">
        <v>0.98471009591339165</v>
      </c>
      <c r="O254">
        <v>0.99999999768035286</v>
      </c>
      <c r="P254">
        <v>0</v>
      </c>
      <c r="Q254">
        <v>0</v>
      </c>
      <c r="R254">
        <v>0</v>
      </c>
      <c r="S254">
        <v>0</v>
      </c>
    </row>
    <row r="255" spans="1:19" ht="15" x14ac:dyDescent="0.25">
      <c r="A255" t="s">
        <v>650</v>
      </c>
      <c r="C255" t="s">
        <v>46</v>
      </c>
      <c r="D255" t="s">
        <v>47</v>
      </c>
      <c r="E255" t="s">
        <v>34</v>
      </c>
      <c r="F255" t="s">
        <v>26</v>
      </c>
      <c r="G255">
        <v>0</v>
      </c>
      <c r="H255">
        <v>0</v>
      </c>
      <c r="I255">
        <v>0</v>
      </c>
      <c r="J255">
        <v>0</v>
      </c>
      <c r="K255">
        <v>0</v>
      </c>
      <c r="L255">
        <v>0</v>
      </c>
      <c r="M255">
        <v>0</v>
      </c>
      <c r="N255">
        <v>0.86588774805920499</v>
      </c>
      <c r="O255">
        <v>0.99998402911185846</v>
      </c>
      <c r="P255">
        <v>0</v>
      </c>
      <c r="Q255">
        <v>0</v>
      </c>
      <c r="R255">
        <v>0</v>
      </c>
      <c r="S255">
        <v>0</v>
      </c>
    </row>
    <row r="256" spans="1:19" ht="15" x14ac:dyDescent="0.25">
      <c r="A256" t="s">
        <v>586</v>
      </c>
      <c r="C256" t="s">
        <v>46</v>
      </c>
      <c r="D256" t="s">
        <v>47</v>
      </c>
      <c r="E256" t="s">
        <v>34</v>
      </c>
      <c r="F256" t="s">
        <v>26</v>
      </c>
      <c r="G256">
        <v>0</v>
      </c>
      <c r="H256">
        <v>0</v>
      </c>
      <c r="I256">
        <v>0</v>
      </c>
      <c r="J256">
        <v>0</v>
      </c>
      <c r="K256">
        <v>0</v>
      </c>
      <c r="L256">
        <v>0</v>
      </c>
      <c r="M256">
        <v>0</v>
      </c>
      <c r="N256">
        <v>0.86588774805920499</v>
      </c>
      <c r="O256">
        <v>0.99998402911185846</v>
      </c>
      <c r="P256">
        <v>0</v>
      </c>
      <c r="Q256">
        <v>0</v>
      </c>
      <c r="R256">
        <v>0</v>
      </c>
      <c r="S256">
        <v>0</v>
      </c>
    </row>
    <row r="257" spans="1:19" ht="15" x14ac:dyDescent="0.25">
      <c r="A257" t="s">
        <v>587</v>
      </c>
      <c r="C257" t="s">
        <v>46</v>
      </c>
      <c r="D257" t="s">
        <v>47</v>
      </c>
      <c r="E257" t="s">
        <v>34</v>
      </c>
      <c r="F257" t="s">
        <v>26</v>
      </c>
      <c r="G257">
        <v>0</v>
      </c>
      <c r="H257">
        <v>0</v>
      </c>
      <c r="I257">
        <v>0</v>
      </c>
      <c r="J257">
        <v>0</v>
      </c>
      <c r="K257">
        <v>0</v>
      </c>
      <c r="L257">
        <v>0</v>
      </c>
      <c r="M257">
        <v>0</v>
      </c>
      <c r="N257">
        <v>0.80573530187347964</v>
      </c>
      <c r="O257">
        <v>0.99992364610504736</v>
      </c>
      <c r="P257">
        <v>0</v>
      </c>
      <c r="Q257">
        <v>0</v>
      </c>
      <c r="R257">
        <v>0</v>
      </c>
      <c r="S257">
        <v>0</v>
      </c>
    </row>
    <row r="258" spans="1:19" ht="15" x14ac:dyDescent="0.25">
      <c r="A258" t="s">
        <v>590</v>
      </c>
      <c r="C258" t="s">
        <v>46</v>
      </c>
      <c r="D258" t="s">
        <v>47</v>
      </c>
      <c r="E258" t="s">
        <v>34</v>
      </c>
      <c r="F258" t="s">
        <v>26</v>
      </c>
      <c r="G258">
        <v>0</v>
      </c>
      <c r="H258">
        <v>0</v>
      </c>
      <c r="I258">
        <v>0</v>
      </c>
      <c r="J258">
        <v>0</v>
      </c>
      <c r="K258">
        <v>0</v>
      </c>
      <c r="L258">
        <v>0</v>
      </c>
      <c r="M258">
        <v>0</v>
      </c>
      <c r="N258">
        <v>0.86588774805920499</v>
      </c>
      <c r="O258">
        <v>0.99998402911185846</v>
      </c>
      <c r="P258">
        <v>0</v>
      </c>
      <c r="Q258">
        <v>0</v>
      </c>
      <c r="R258">
        <v>0</v>
      </c>
      <c r="S258">
        <v>0</v>
      </c>
    </row>
    <row r="259" spans="1:19" ht="15" x14ac:dyDescent="0.25">
      <c r="A259" t="s">
        <v>653</v>
      </c>
      <c r="C259" t="s">
        <v>46</v>
      </c>
      <c r="D259" t="s">
        <v>47</v>
      </c>
      <c r="E259" t="s">
        <v>34</v>
      </c>
      <c r="F259" t="s">
        <v>26</v>
      </c>
      <c r="G259">
        <v>0</v>
      </c>
      <c r="H259">
        <v>0</v>
      </c>
      <c r="I259">
        <v>0</v>
      </c>
      <c r="J259">
        <v>0</v>
      </c>
      <c r="K259">
        <v>0</v>
      </c>
      <c r="L259">
        <v>0</v>
      </c>
      <c r="M259">
        <v>0</v>
      </c>
      <c r="N259">
        <v>0.77724473806894612</v>
      </c>
      <c r="O259">
        <v>0.99986252927903163</v>
      </c>
      <c r="P259">
        <v>0</v>
      </c>
      <c r="Q259">
        <v>0</v>
      </c>
      <c r="R259">
        <v>0</v>
      </c>
      <c r="S259">
        <v>0</v>
      </c>
    </row>
    <row r="260" spans="1:19" ht="15" x14ac:dyDescent="0.25">
      <c r="A260" t="s">
        <v>592</v>
      </c>
      <c r="C260" t="s">
        <v>46</v>
      </c>
      <c r="D260" t="s">
        <v>47</v>
      </c>
      <c r="E260" t="s">
        <v>34</v>
      </c>
      <c r="F260" t="s">
        <v>26</v>
      </c>
      <c r="G260">
        <v>0</v>
      </c>
      <c r="H260">
        <v>0</v>
      </c>
      <c r="I260">
        <v>0</v>
      </c>
      <c r="J260">
        <v>0</v>
      </c>
      <c r="K260">
        <v>0</v>
      </c>
      <c r="L260">
        <v>0</v>
      </c>
      <c r="M260">
        <v>0</v>
      </c>
      <c r="N260">
        <v>0.86588774805920499</v>
      </c>
      <c r="O260">
        <v>0.99998402911185846</v>
      </c>
      <c r="P260">
        <v>0</v>
      </c>
      <c r="Q260">
        <v>0</v>
      </c>
      <c r="R260">
        <v>0</v>
      </c>
      <c r="S260">
        <v>0</v>
      </c>
    </row>
    <row r="261" spans="1:19" ht="15" x14ac:dyDescent="0.25">
      <c r="A261" t="s">
        <v>591</v>
      </c>
      <c r="C261" t="s">
        <v>46</v>
      </c>
      <c r="D261" t="s">
        <v>47</v>
      </c>
      <c r="E261" t="s">
        <v>34</v>
      </c>
      <c r="F261" t="s">
        <v>26</v>
      </c>
      <c r="G261">
        <v>0</v>
      </c>
      <c r="H261">
        <v>0</v>
      </c>
      <c r="I261">
        <v>0</v>
      </c>
      <c r="J261">
        <v>0</v>
      </c>
      <c r="K261">
        <v>0</v>
      </c>
      <c r="L261">
        <v>0</v>
      </c>
      <c r="M261">
        <v>0</v>
      </c>
      <c r="N261">
        <v>0.91722726692541467</v>
      </c>
      <c r="O261">
        <v>0.99999783295098688</v>
      </c>
      <c r="P261">
        <v>0</v>
      </c>
      <c r="Q261">
        <v>0</v>
      </c>
      <c r="R261">
        <v>0</v>
      </c>
      <c r="S261">
        <v>0</v>
      </c>
    </row>
    <row r="262" spans="1:19" ht="15" x14ac:dyDescent="0.25">
      <c r="A262" t="s">
        <v>618</v>
      </c>
      <c r="C262" t="s">
        <v>46</v>
      </c>
      <c r="D262" t="s">
        <v>47</v>
      </c>
      <c r="E262" t="s">
        <v>34</v>
      </c>
      <c r="F262" t="s">
        <v>26</v>
      </c>
      <c r="G262">
        <v>0</v>
      </c>
      <c r="H262">
        <v>0</v>
      </c>
      <c r="I262">
        <v>0</v>
      </c>
      <c r="J262">
        <v>0</v>
      </c>
      <c r="K262">
        <v>0</v>
      </c>
      <c r="L262">
        <v>0</v>
      </c>
      <c r="M262">
        <v>0</v>
      </c>
      <c r="N262">
        <v>0.86588774805920499</v>
      </c>
      <c r="O262">
        <v>0.99998402911185846</v>
      </c>
      <c r="P262">
        <v>0</v>
      </c>
      <c r="Q262">
        <v>0</v>
      </c>
      <c r="R262">
        <v>0</v>
      </c>
      <c r="S262">
        <v>0</v>
      </c>
    </row>
    <row r="263" spans="1:19" ht="15" x14ac:dyDescent="0.25">
      <c r="A263" t="s">
        <v>631</v>
      </c>
      <c r="C263" t="s">
        <v>46</v>
      </c>
      <c r="D263" t="s">
        <v>47</v>
      </c>
      <c r="E263" t="s">
        <v>34</v>
      </c>
      <c r="F263" t="s">
        <v>26</v>
      </c>
      <c r="G263">
        <v>0</v>
      </c>
      <c r="H263">
        <v>0</v>
      </c>
      <c r="I263">
        <v>0</v>
      </c>
      <c r="J263">
        <v>0</v>
      </c>
      <c r="K263">
        <v>0</v>
      </c>
      <c r="L263">
        <v>0</v>
      </c>
      <c r="M263">
        <v>0</v>
      </c>
      <c r="N263">
        <v>0.9173593571621208</v>
      </c>
      <c r="O263">
        <v>0.99999784711462369</v>
      </c>
      <c r="P263">
        <v>0</v>
      </c>
      <c r="Q263">
        <v>0</v>
      </c>
      <c r="R263">
        <v>0</v>
      </c>
      <c r="S263">
        <v>0</v>
      </c>
    </row>
    <row r="264" spans="1:19" ht="15" x14ac:dyDescent="0.25">
      <c r="A264" t="s">
        <v>655</v>
      </c>
      <c r="C264" t="s">
        <v>46</v>
      </c>
      <c r="D264" t="s">
        <v>47</v>
      </c>
      <c r="E264" t="s">
        <v>34</v>
      </c>
      <c r="F264" t="s">
        <v>26</v>
      </c>
      <c r="G264">
        <v>0</v>
      </c>
      <c r="H264">
        <v>0</v>
      </c>
      <c r="I264">
        <v>0</v>
      </c>
      <c r="J264">
        <v>0</v>
      </c>
      <c r="K264">
        <v>0</v>
      </c>
      <c r="L264">
        <v>0</v>
      </c>
      <c r="M264">
        <v>0</v>
      </c>
      <c r="N264">
        <v>0.88161484678341606</v>
      </c>
      <c r="O264">
        <v>0.99999050299535142</v>
      </c>
      <c r="P264">
        <v>0</v>
      </c>
      <c r="Q264">
        <v>0</v>
      </c>
      <c r="R264">
        <v>0</v>
      </c>
      <c r="S264">
        <v>0</v>
      </c>
    </row>
    <row r="265" spans="1:19" ht="15" x14ac:dyDescent="0.25">
      <c r="A265" t="s">
        <v>656</v>
      </c>
      <c r="C265" t="s">
        <v>46</v>
      </c>
      <c r="D265" t="s">
        <v>47</v>
      </c>
      <c r="E265" t="s">
        <v>34</v>
      </c>
      <c r="F265" t="s">
        <v>26</v>
      </c>
      <c r="G265">
        <v>0</v>
      </c>
      <c r="H265">
        <v>0</v>
      </c>
      <c r="I265">
        <v>0</v>
      </c>
      <c r="J265">
        <v>0</v>
      </c>
      <c r="K265">
        <v>0</v>
      </c>
      <c r="L265">
        <v>0</v>
      </c>
      <c r="M265">
        <v>0</v>
      </c>
      <c r="N265">
        <v>0.86588774805920499</v>
      </c>
      <c r="O265">
        <v>0.99998402911185846</v>
      </c>
      <c r="P265">
        <v>0</v>
      </c>
      <c r="Q265">
        <v>0</v>
      </c>
      <c r="R265">
        <v>0</v>
      </c>
      <c r="S265">
        <v>0</v>
      </c>
    </row>
    <row r="266" spans="1:19" ht="15" x14ac:dyDescent="0.25">
      <c r="A266" t="s">
        <v>81</v>
      </c>
      <c r="C266" t="s">
        <v>46</v>
      </c>
      <c r="D266" t="s">
        <v>47</v>
      </c>
      <c r="E266" t="s">
        <v>34</v>
      </c>
      <c r="F266" t="s">
        <v>26</v>
      </c>
      <c r="G266">
        <v>0</v>
      </c>
      <c r="H266">
        <v>0</v>
      </c>
      <c r="I266">
        <v>0</v>
      </c>
      <c r="J266">
        <v>0</v>
      </c>
      <c r="K266">
        <v>0</v>
      </c>
      <c r="L266">
        <v>0</v>
      </c>
      <c r="M266">
        <v>0</v>
      </c>
      <c r="N266">
        <v>0.8911878885041844</v>
      </c>
      <c r="O266">
        <v>0.99999330652801821</v>
      </c>
      <c r="P266">
        <v>0</v>
      </c>
      <c r="Q266">
        <v>0</v>
      </c>
      <c r="R266">
        <v>0</v>
      </c>
      <c r="S266">
        <v>0</v>
      </c>
    </row>
    <row r="267" spans="1:19" ht="15" x14ac:dyDescent="0.25">
      <c r="A267" t="s">
        <v>641</v>
      </c>
      <c r="C267" t="s">
        <v>46</v>
      </c>
      <c r="D267" t="s">
        <v>47</v>
      </c>
      <c r="E267" t="s">
        <v>34</v>
      </c>
      <c r="F267" t="s">
        <v>26</v>
      </c>
      <c r="G267">
        <v>0</v>
      </c>
      <c r="H267">
        <v>0</v>
      </c>
      <c r="I267">
        <v>0</v>
      </c>
      <c r="J267">
        <v>0</v>
      </c>
      <c r="K267">
        <v>0</v>
      </c>
      <c r="L267">
        <v>0</v>
      </c>
      <c r="M267">
        <v>0</v>
      </c>
      <c r="N267">
        <v>0.78286109480465094</v>
      </c>
      <c r="O267">
        <v>0.99987687844845685</v>
      </c>
      <c r="P267">
        <v>0</v>
      </c>
      <c r="Q267">
        <v>0</v>
      </c>
      <c r="R267">
        <v>0</v>
      </c>
      <c r="S267">
        <v>0</v>
      </c>
    </row>
    <row r="268" spans="1:19" ht="15" x14ac:dyDescent="0.25">
      <c r="A268" t="s">
        <v>658</v>
      </c>
      <c r="C268" t="s">
        <v>46</v>
      </c>
      <c r="D268" t="s">
        <v>47</v>
      </c>
      <c r="E268" t="s">
        <v>34</v>
      </c>
      <c r="F268" t="s">
        <v>26</v>
      </c>
      <c r="G268">
        <v>0</v>
      </c>
      <c r="H268">
        <v>0</v>
      </c>
      <c r="I268">
        <v>0</v>
      </c>
      <c r="J268">
        <v>0</v>
      </c>
      <c r="K268">
        <v>0</v>
      </c>
      <c r="L268">
        <v>0</v>
      </c>
      <c r="M268">
        <v>0</v>
      </c>
      <c r="N268">
        <v>0.86588774805920499</v>
      </c>
      <c r="O268">
        <v>0.99998402911185846</v>
      </c>
      <c r="P268">
        <v>0</v>
      </c>
      <c r="Q268">
        <v>0</v>
      </c>
      <c r="R268">
        <v>0</v>
      </c>
      <c r="S268">
        <v>0</v>
      </c>
    </row>
    <row r="269" spans="1:19" ht="15" x14ac:dyDescent="0.25">
      <c r="A269" t="s">
        <v>627</v>
      </c>
      <c r="C269" t="s">
        <v>46</v>
      </c>
      <c r="D269" t="s">
        <v>47</v>
      </c>
      <c r="E269" t="s">
        <v>34</v>
      </c>
      <c r="F269" t="s">
        <v>26</v>
      </c>
      <c r="G269">
        <v>0</v>
      </c>
      <c r="H269">
        <v>0</v>
      </c>
      <c r="I269">
        <v>0</v>
      </c>
      <c r="J269">
        <v>0</v>
      </c>
      <c r="K269">
        <v>0</v>
      </c>
      <c r="L269">
        <v>0</v>
      </c>
      <c r="M269">
        <v>0</v>
      </c>
      <c r="N269">
        <v>0.86588774805920499</v>
      </c>
      <c r="O269">
        <v>0.99998402911185846</v>
      </c>
      <c r="P269">
        <v>0</v>
      </c>
      <c r="Q269">
        <v>0</v>
      </c>
      <c r="R269">
        <v>0</v>
      </c>
      <c r="S269">
        <v>0</v>
      </c>
    </row>
    <row r="270" spans="1:19" ht="15" x14ac:dyDescent="0.25">
      <c r="A270" t="s">
        <v>659</v>
      </c>
      <c r="C270" t="s">
        <v>46</v>
      </c>
      <c r="D270" t="s">
        <v>47</v>
      </c>
      <c r="E270" t="s">
        <v>34</v>
      </c>
      <c r="F270" t="s">
        <v>26</v>
      </c>
      <c r="G270">
        <v>0</v>
      </c>
      <c r="H270">
        <v>0</v>
      </c>
      <c r="I270">
        <v>0</v>
      </c>
      <c r="J270">
        <v>0</v>
      </c>
      <c r="K270">
        <v>0</v>
      </c>
      <c r="L270">
        <v>0</v>
      </c>
      <c r="M270">
        <v>0</v>
      </c>
      <c r="N270">
        <v>0.86588774805920499</v>
      </c>
      <c r="O270">
        <v>0.99998402911185846</v>
      </c>
      <c r="P270">
        <v>0</v>
      </c>
      <c r="Q270">
        <v>0</v>
      </c>
      <c r="R270">
        <v>0</v>
      </c>
      <c r="S270">
        <v>0</v>
      </c>
    </row>
    <row r="271" spans="1:19" ht="15" x14ac:dyDescent="0.25">
      <c r="A271" t="s">
        <v>590</v>
      </c>
      <c r="C271" t="s">
        <v>46</v>
      </c>
      <c r="D271" t="s">
        <v>47</v>
      </c>
      <c r="E271" t="s">
        <v>34</v>
      </c>
      <c r="F271" t="s">
        <v>26</v>
      </c>
      <c r="G271">
        <v>0</v>
      </c>
      <c r="H271">
        <v>0</v>
      </c>
      <c r="I271">
        <v>0</v>
      </c>
      <c r="J271">
        <v>0</v>
      </c>
      <c r="K271">
        <v>0</v>
      </c>
      <c r="L271">
        <v>0</v>
      </c>
      <c r="M271">
        <v>0</v>
      </c>
      <c r="N271">
        <v>0.86588774805920499</v>
      </c>
      <c r="O271">
        <v>0.99998402911185846</v>
      </c>
      <c r="P271">
        <v>0</v>
      </c>
      <c r="Q271">
        <v>0</v>
      </c>
      <c r="R271">
        <v>0</v>
      </c>
      <c r="S271">
        <v>0</v>
      </c>
    </row>
    <row r="272" spans="1:19" ht="15" x14ac:dyDescent="0.25">
      <c r="A272" t="s">
        <v>591</v>
      </c>
      <c r="C272" t="s">
        <v>46</v>
      </c>
      <c r="D272" t="s">
        <v>47</v>
      </c>
      <c r="E272" t="s">
        <v>34</v>
      </c>
      <c r="F272" t="s">
        <v>26</v>
      </c>
      <c r="G272">
        <v>0</v>
      </c>
      <c r="H272">
        <v>0</v>
      </c>
      <c r="I272">
        <v>0</v>
      </c>
      <c r="J272">
        <v>0</v>
      </c>
      <c r="K272">
        <v>0</v>
      </c>
      <c r="L272">
        <v>0</v>
      </c>
      <c r="M272">
        <v>0</v>
      </c>
      <c r="N272">
        <v>0.91722726692541467</v>
      </c>
      <c r="O272">
        <v>0.99999783295098688</v>
      </c>
      <c r="P272">
        <v>0</v>
      </c>
      <c r="Q272">
        <v>0</v>
      </c>
      <c r="R272">
        <v>0</v>
      </c>
      <c r="S272">
        <v>0</v>
      </c>
    </row>
    <row r="273" spans="1:19" ht="15" x14ac:dyDescent="0.25">
      <c r="A273" t="s">
        <v>618</v>
      </c>
      <c r="C273" t="s">
        <v>46</v>
      </c>
      <c r="D273" t="s">
        <v>47</v>
      </c>
      <c r="E273" t="s">
        <v>34</v>
      </c>
      <c r="F273" t="s">
        <v>26</v>
      </c>
      <c r="G273">
        <v>0</v>
      </c>
      <c r="H273">
        <v>0</v>
      </c>
      <c r="I273">
        <v>0</v>
      </c>
      <c r="J273">
        <v>0</v>
      </c>
      <c r="K273">
        <v>0</v>
      </c>
      <c r="L273">
        <v>0</v>
      </c>
      <c r="M273">
        <v>0</v>
      </c>
      <c r="N273">
        <v>0.86588774805920499</v>
      </c>
      <c r="O273">
        <v>0.99998402911185846</v>
      </c>
      <c r="P273">
        <v>0</v>
      </c>
      <c r="Q273">
        <v>0</v>
      </c>
      <c r="R273">
        <v>0</v>
      </c>
      <c r="S273">
        <v>0</v>
      </c>
    </row>
    <row r="274" spans="1:19" ht="15" x14ac:dyDescent="0.25">
      <c r="A274" t="s">
        <v>660</v>
      </c>
      <c r="C274" t="s">
        <v>46</v>
      </c>
      <c r="D274" t="s">
        <v>47</v>
      </c>
      <c r="E274" t="s">
        <v>34</v>
      </c>
      <c r="F274" t="s">
        <v>26</v>
      </c>
      <c r="G274">
        <v>0</v>
      </c>
      <c r="H274">
        <v>0</v>
      </c>
      <c r="I274">
        <v>0</v>
      </c>
      <c r="J274">
        <v>0</v>
      </c>
      <c r="K274">
        <v>0</v>
      </c>
      <c r="L274">
        <v>0</v>
      </c>
      <c r="M274">
        <v>0</v>
      </c>
      <c r="N274">
        <v>0.86588774805920499</v>
      </c>
      <c r="O274">
        <v>0.99998402911185846</v>
      </c>
      <c r="P274">
        <v>0</v>
      </c>
      <c r="Q274">
        <v>0</v>
      </c>
      <c r="R274">
        <v>0</v>
      </c>
      <c r="S274">
        <v>0</v>
      </c>
    </row>
    <row r="275" spans="1:19" ht="15" x14ac:dyDescent="0.25">
      <c r="A275" t="s">
        <v>593</v>
      </c>
      <c r="C275" t="s">
        <v>46</v>
      </c>
      <c r="D275" t="s">
        <v>165</v>
      </c>
      <c r="E275" t="s">
        <v>34</v>
      </c>
      <c r="F275" t="s">
        <v>26</v>
      </c>
      <c r="G275">
        <v>0</v>
      </c>
      <c r="H275">
        <v>0</v>
      </c>
      <c r="I275">
        <v>0</v>
      </c>
      <c r="J275">
        <v>0</v>
      </c>
      <c r="K275">
        <v>0</v>
      </c>
      <c r="L275">
        <v>0</v>
      </c>
      <c r="M275">
        <v>0</v>
      </c>
      <c r="N275">
        <v>0.99282585790381339</v>
      </c>
      <c r="O275">
        <v>0.99999999988866861</v>
      </c>
      <c r="P275">
        <v>0</v>
      </c>
      <c r="Q275">
        <v>0</v>
      </c>
      <c r="R275">
        <v>0</v>
      </c>
      <c r="S275">
        <v>0</v>
      </c>
    </row>
    <row r="276" spans="1:19" ht="15" x14ac:dyDescent="0.25">
      <c r="A276" t="s">
        <v>614</v>
      </c>
      <c r="C276" t="s">
        <v>46</v>
      </c>
      <c r="D276" t="s">
        <v>165</v>
      </c>
      <c r="E276" t="s">
        <v>34</v>
      </c>
      <c r="F276" t="s">
        <v>26</v>
      </c>
      <c r="G276">
        <v>0</v>
      </c>
      <c r="H276">
        <v>0</v>
      </c>
      <c r="I276">
        <v>0</v>
      </c>
      <c r="J276">
        <v>0</v>
      </c>
      <c r="K276">
        <v>0</v>
      </c>
      <c r="L276">
        <v>0</v>
      </c>
      <c r="M276">
        <v>0</v>
      </c>
      <c r="N276">
        <v>0.51044111281980853</v>
      </c>
      <c r="O276">
        <v>0.99499292844029141</v>
      </c>
      <c r="P276">
        <v>0</v>
      </c>
      <c r="Q276">
        <v>0</v>
      </c>
      <c r="R276">
        <v>0</v>
      </c>
      <c r="S276">
        <v>0</v>
      </c>
    </row>
    <row r="277" spans="1:19" ht="15" x14ac:dyDescent="0.25">
      <c r="A277" t="s">
        <v>583</v>
      </c>
      <c r="C277" t="s">
        <v>46</v>
      </c>
      <c r="D277" t="s">
        <v>165</v>
      </c>
      <c r="E277" t="s">
        <v>34</v>
      </c>
      <c r="F277" t="s">
        <v>26</v>
      </c>
      <c r="G277">
        <v>0</v>
      </c>
      <c r="H277">
        <v>0</v>
      </c>
      <c r="I277">
        <v>0</v>
      </c>
      <c r="J277">
        <v>0</v>
      </c>
      <c r="K277">
        <v>0</v>
      </c>
      <c r="L277">
        <v>0</v>
      </c>
      <c r="M277">
        <v>0</v>
      </c>
      <c r="N277">
        <v>0.9173593571621208</v>
      </c>
      <c r="O277">
        <v>0.99999784711462369</v>
      </c>
      <c r="P277">
        <v>0</v>
      </c>
      <c r="Q277">
        <v>0</v>
      </c>
      <c r="R277">
        <v>0</v>
      </c>
      <c r="S277">
        <v>0</v>
      </c>
    </row>
    <row r="278" spans="1:19" ht="15" x14ac:dyDescent="0.25">
      <c r="A278" t="s">
        <v>627</v>
      </c>
      <c r="C278" t="s">
        <v>46</v>
      </c>
      <c r="D278" t="s">
        <v>165</v>
      </c>
      <c r="E278" t="s">
        <v>34</v>
      </c>
      <c r="F278" t="s">
        <v>26</v>
      </c>
      <c r="G278">
        <v>0</v>
      </c>
      <c r="H278">
        <v>0</v>
      </c>
      <c r="I278">
        <v>0</v>
      </c>
      <c r="J278">
        <v>0</v>
      </c>
      <c r="K278">
        <v>0</v>
      </c>
      <c r="L278">
        <v>0</v>
      </c>
      <c r="M278">
        <v>0</v>
      </c>
      <c r="N278">
        <v>0.86588774805920499</v>
      </c>
      <c r="O278">
        <v>0.99998402911185846</v>
      </c>
      <c r="P278">
        <v>0</v>
      </c>
      <c r="Q278">
        <v>0</v>
      </c>
      <c r="R278">
        <v>0</v>
      </c>
      <c r="S278">
        <v>0</v>
      </c>
    </row>
    <row r="279" spans="1:19" ht="15" x14ac:dyDescent="0.25">
      <c r="A279" t="s">
        <v>662</v>
      </c>
      <c r="C279" t="s">
        <v>46</v>
      </c>
      <c r="D279" t="s">
        <v>165</v>
      </c>
      <c r="E279" t="s">
        <v>34</v>
      </c>
      <c r="F279" t="s">
        <v>26</v>
      </c>
      <c r="G279">
        <v>0</v>
      </c>
      <c r="H279">
        <v>0</v>
      </c>
      <c r="I279">
        <v>0</v>
      </c>
      <c r="J279">
        <v>0</v>
      </c>
      <c r="K279">
        <v>0</v>
      </c>
      <c r="L279">
        <v>0</v>
      </c>
      <c r="M279">
        <v>0</v>
      </c>
      <c r="N279">
        <v>0.95263066527377249</v>
      </c>
      <c r="O279">
        <v>0.99999977771423554</v>
      </c>
      <c r="P279">
        <v>0</v>
      </c>
      <c r="Q279">
        <v>0</v>
      </c>
      <c r="R279">
        <v>0</v>
      </c>
      <c r="S279">
        <v>0</v>
      </c>
    </row>
    <row r="280" spans="1:19" ht="15" x14ac:dyDescent="0.25">
      <c r="A280" t="s">
        <v>663</v>
      </c>
      <c r="C280" t="s">
        <v>46</v>
      </c>
      <c r="D280" t="s">
        <v>165</v>
      </c>
      <c r="E280" t="s">
        <v>34</v>
      </c>
      <c r="F280" t="s">
        <v>26</v>
      </c>
      <c r="G280">
        <v>0</v>
      </c>
      <c r="H280">
        <v>0</v>
      </c>
      <c r="I280">
        <v>0</v>
      </c>
      <c r="J280">
        <v>0</v>
      </c>
      <c r="K280">
        <v>0</v>
      </c>
      <c r="L280">
        <v>0</v>
      </c>
      <c r="M280">
        <v>0</v>
      </c>
      <c r="N280">
        <v>0.95263066527377249</v>
      </c>
      <c r="O280">
        <v>0.99999977771423554</v>
      </c>
      <c r="P280">
        <v>0</v>
      </c>
      <c r="Q280">
        <v>0</v>
      </c>
      <c r="R280">
        <v>0</v>
      </c>
      <c r="S280">
        <v>0</v>
      </c>
    </row>
    <row r="281" spans="1:19" ht="15" x14ac:dyDescent="0.25">
      <c r="A281" t="s">
        <v>664</v>
      </c>
      <c r="C281" t="s">
        <v>46</v>
      </c>
      <c r="D281" t="s">
        <v>165</v>
      </c>
      <c r="E281" t="s">
        <v>34</v>
      </c>
      <c r="F281" t="s">
        <v>26</v>
      </c>
      <c r="G281">
        <v>0</v>
      </c>
      <c r="H281">
        <v>0</v>
      </c>
      <c r="I281">
        <v>0</v>
      </c>
      <c r="J281">
        <v>0</v>
      </c>
      <c r="K281">
        <v>0</v>
      </c>
      <c r="L281">
        <v>0</v>
      </c>
      <c r="M281">
        <v>0</v>
      </c>
      <c r="N281">
        <v>0.98018299025344713</v>
      </c>
      <c r="O281">
        <v>0.99999999341818024</v>
      </c>
      <c r="P281">
        <v>0</v>
      </c>
      <c r="Q281">
        <v>0</v>
      </c>
      <c r="R281">
        <v>0</v>
      </c>
      <c r="S281">
        <v>0</v>
      </c>
    </row>
    <row r="282" spans="1:19" ht="15" x14ac:dyDescent="0.25">
      <c r="A282" t="s">
        <v>665</v>
      </c>
      <c r="C282" t="s">
        <v>46</v>
      </c>
      <c r="D282" t="s">
        <v>165</v>
      </c>
      <c r="E282" t="s">
        <v>34</v>
      </c>
      <c r="F282" t="s">
        <v>26</v>
      </c>
      <c r="G282">
        <v>0</v>
      </c>
      <c r="H282">
        <v>0</v>
      </c>
      <c r="I282">
        <v>0</v>
      </c>
      <c r="J282">
        <v>0</v>
      </c>
      <c r="K282">
        <v>0</v>
      </c>
      <c r="L282">
        <v>0</v>
      </c>
      <c r="M282">
        <v>0</v>
      </c>
      <c r="N282">
        <v>0.90034613063410318</v>
      </c>
      <c r="O282">
        <v>0.99999534691873038</v>
      </c>
      <c r="P282">
        <v>0</v>
      </c>
      <c r="Q282">
        <v>0</v>
      </c>
      <c r="R282">
        <v>0</v>
      </c>
      <c r="S282">
        <v>0</v>
      </c>
    </row>
    <row r="283" spans="1:19" ht="15" x14ac:dyDescent="0.25">
      <c r="A283" t="s">
        <v>603</v>
      </c>
      <c r="C283" t="s">
        <v>46</v>
      </c>
      <c r="D283" t="s">
        <v>165</v>
      </c>
      <c r="E283" t="s">
        <v>34</v>
      </c>
      <c r="F283" t="s">
        <v>26</v>
      </c>
      <c r="G283">
        <v>0</v>
      </c>
      <c r="H283">
        <v>0</v>
      </c>
      <c r="I283">
        <v>0</v>
      </c>
      <c r="J283">
        <v>0</v>
      </c>
      <c r="K283">
        <v>0</v>
      </c>
      <c r="L283">
        <v>0</v>
      </c>
      <c r="M283">
        <v>0</v>
      </c>
      <c r="N283">
        <v>0.86588774805920499</v>
      </c>
      <c r="O283">
        <v>0.99998402911185846</v>
      </c>
      <c r="P283">
        <v>0</v>
      </c>
      <c r="Q283">
        <v>0</v>
      </c>
      <c r="R283">
        <v>0</v>
      </c>
      <c r="S283">
        <v>0</v>
      </c>
    </row>
    <row r="284" spans="1:19" ht="15" x14ac:dyDescent="0.25">
      <c r="A284" t="s">
        <v>586</v>
      </c>
      <c r="C284" t="s">
        <v>46</v>
      </c>
      <c r="D284" t="s">
        <v>165</v>
      </c>
      <c r="E284" t="s">
        <v>34</v>
      </c>
      <c r="F284" t="s">
        <v>26</v>
      </c>
      <c r="G284">
        <v>0</v>
      </c>
      <c r="H284">
        <v>0</v>
      </c>
      <c r="I284">
        <v>0</v>
      </c>
      <c r="J284">
        <v>0</v>
      </c>
      <c r="K284">
        <v>0</v>
      </c>
      <c r="L284">
        <v>0</v>
      </c>
      <c r="M284">
        <v>0</v>
      </c>
      <c r="N284">
        <v>0.86588774805920499</v>
      </c>
      <c r="O284">
        <v>0.99998402911185846</v>
      </c>
      <c r="P284">
        <v>0</v>
      </c>
      <c r="Q284">
        <v>0</v>
      </c>
      <c r="R284">
        <v>0</v>
      </c>
      <c r="S284">
        <v>0</v>
      </c>
    </row>
    <row r="285" spans="1:19" ht="15" x14ac:dyDescent="0.25">
      <c r="A285" t="s">
        <v>587</v>
      </c>
      <c r="C285" t="s">
        <v>46</v>
      </c>
      <c r="D285" t="s">
        <v>165</v>
      </c>
      <c r="E285" t="s">
        <v>34</v>
      </c>
      <c r="F285" t="s">
        <v>26</v>
      </c>
      <c r="G285">
        <v>0</v>
      </c>
      <c r="H285">
        <v>0</v>
      </c>
      <c r="I285">
        <v>0</v>
      </c>
      <c r="J285">
        <v>0</v>
      </c>
      <c r="K285">
        <v>0</v>
      </c>
      <c r="L285">
        <v>0</v>
      </c>
      <c r="M285">
        <v>0</v>
      </c>
      <c r="N285">
        <v>0.80573530187347964</v>
      </c>
      <c r="O285">
        <v>0.99992364610504736</v>
      </c>
      <c r="P285">
        <v>0</v>
      </c>
      <c r="Q285">
        <v>0</v>
      </c>
      <c r="R285">
        <v>0</v>
      </c>
      <c r="S285">
        <v>0</v>
      </c>
    </row>
    <row r="286" spans="1:19" ht="15" x14ac:dyDescent="0.25">
      <c r="A286" t="s">
        <v>590</v>
      </c>
      <c r="C286" t="s">
        <v>46</v>
      </c>
      <c r="D286" t="s">
        <v>165</v>
      </c>
      <c r="E286" t="s">
        <v>34</v>
      </c>
      <c r="F286" t="s">
        <v>26</v>
      </c>
      <c r="G286">
        <v>0</v>
      </c>
      <c r="H286">
        <v>0</v>
      </c>
      <c r="I286">
        <v>0</v>
      </c>
      <c r="J286">
        <v>0</v>
      </c>
      <c r="K286">
        <v>0</v>
      </c>
      <c r="L286">
        <v>0</v>
      </c>
      <c r="M286">
        <v>0</v>
      </c>
      <c r="N286">
        <v>0.86588774805920499</v>
      </c>
      <c r="O286">
        <v>0.99998402911185846</v>
      </c>
      <c r="P286">
        <v>0</v>
      </c>
      <c r="Q286">
        <v>0</v>
      </c>
      <c r="R286">
        <v>0</v>
      </c>
      <c r="S286">
        <v>0</v>
      </c>
    </row>
    <row r="287" spans="1:19" ht="15" x14ac:dyDescent="0.25">
      <c r="A287" t="s">
        <v>618</v>
      </c>
      <c r="C287" t="s">
        <v>46</v>
      </c>
      <c r="D287" t="s">
        <v>165</v>
      </c>
      <c r="E287" t="s">
        <v>34</v>
      </c>
      <c r="F287" t="s">
        <v>26</v>
      </c>
      <c r="G287">
        <v>0</v>
      </c>
      <c r="H287">
        <v>0</v>
      </c>
      <c r="I287">
        <v>0</v>
      </c>
      <c r="J287">
        <v>0</v>
      </c>
      <c r="K287">
        <v>0</v>
      </c>
      <c r="L287">
        <v>0</v>
      </c>
      <c r="M287">
        <v>0</v>
      </c>
      <c r="N287">
        <v>0.86588774805920499</v>
      </c>
      <c r="O287">
        <v>0.99998402911185846</v>
      </c>
      <c r="P287">
        <v>0</v>
      </c>
      <c r="Q287">
        <v>0</v>
      </c>
      <c r="R287">
        <v>0</v>
      </c>
      <c r="S287">
        <v>0</v>
      </c>
    </row>
    <row r="288" spans="1:19" ht="15" x14ac:dyDescent="0.25">
      <c r="A288" t="s">
        <v>593</v>
      </c>
      <c r="C288" t="s">
        <v>22</v>
      </c>
      <c r="D288" t="s">
        <v>33</v>
      </c>
      <c r="E288" t="s">
        <v>34</v>
      </c>
      <c r="F288" t="s">
        <v>26</v>
      </c>
      <c r="G288">
        <v>0</v>
      </c>
      <c r="H288">
        <v>0</v>
      </c>
      <c r="I288">
        <v>0</v>
      </c>
      <c r="J288">
        <v>0</v>
      </c>
      <c r="K288">
        <v>0</v>
      </c>
      <c r="L288">
        <v>0</v>
      </c>
      <c r="M288">
        <v>0</v>
      </c>
      <c r="N288">
        <v>0.99282585790381339</v>
      </c>
      <c r="O288">
        <v>0.99999999988866861</v>
      </c>
      <c r="P288">
        <v>0</v>
      </c>
      <c r="Q288">
        <v>0</v>
      </c>
      <c r="R288">
        <v>0</v>
      </c>
      <c r="S288">
        <v>0</v>
      </c>
    </row>
    <row r="289" spans="1:19" ht="15" x14ac:dyDescent="0.25">
      <c r="A289" t="s">
        <v>81</v>
      </c>
      <c r="C289" t="s">
        <v>22</v>
      </c>
      <c r="D289" t="s">
        <v>33</v>
      </c>
      <c r="E289" t="s">
        <v>34</v>
      </c>
      <c r="F289" t="s">
        <v>26</v>
      </c>
      <c r="G289">
        <v>0</v>
      </c>
      <c r="H289">
        <v>0</v>
      </c>
      <c r="I289">
        <v>0</v>
      </c>
      <c r="J289">
        <v>0</v>
      </c>
      <c r="K289">
        <v>0</v>
      </c>
      <c r="L289">
        <v>0</v>
      </c>
      <c r="M289">
        <v>0</v>
      </c>
      <c r="N289">
        <v>0.8911878885041844</v>
      </c>
      <c r="O289">
        <v>0.99999330652801821</v>
      </c>
      <c r="P289">
        <v>0</v>
      </c>
      <c r="Q289">
        <v>0</v>
      </c>
      <c r="R289">
        <v>0</v>
      </c>
      <c r="S289">
        <v>0</v>
      </c>
    </row>
    <row r="290" spans="1:19" ht="15" x14ac:dyDescent="0.25">
      <c r="A290" t="s">
        <v>668</v>
      </c>
      <c r="C290" t="s">
        <v>22</v>
      </c>
      <c r="D290" t="s">
        <v>33</v>
      </c>
      <c r="E290" t="s">
        <v>34</v>
      </c>
      <c r="F290" t="s">
        <v>26</v>
      </c>
      <c r="G290">
        <v>0</v>
      </c>
      <c r="H290">
        <v>0</v>
      </c>
      <c r="I290">
        <v>0</v>
      </c>
      <c r="J290">
        <v>0</v>
      </c>
      <c r="K290">
        <v>0</v>
      </c>
      <c r="L290">
        <v>0</v>
      </c>
      <c r="M290">
        <v>0</v>
      </c>
      <c r="N290">
        <v>0.99282585790381339</v>
      </c>
      <c r="O290">
        <v>0.99999999988866861</v>
      </c>
      <c r="P290">
        <v>0</v>
      </c>
      <c r="Q290">
        <v>0</v>
      </c>
      <c r="R290">
        <v>0</v>
      </c>
      <c r="S290">
        <v>0</v>
      </c>
    </row>
    <row r="291" spans="1:19" ht="15" x14ac:dyDescent="0.25">
      <c r="A291" t="s">
        <v>620</v>
      </c>
      <c r="C291" t="s">
        <v>22</v>
      </c>
      <c r="D291" t="s">
        <v>33</v>
      </c>
      <c r="E291" t="s">
        <v>34</v>
      </c>
      <c r="F291" t="s">
        <v>26</v>
      </c>
      <c r="G291">
        <v>0</v>
      </c>
      <c r="H291">
        <v>0</v>
      </c>
      <c r="I291">
        <v>0</v>
      </c>
      <c r="J291">
        <v>0</v>
      </c>
      <c r="K291">
        <v>0</v>
      </c>
      <c r="L291">
        <v>0</v>
      </c>
      <c r="M291">
        <v>0</v>
      </c>
      <c r="N291">
        <v>0.78286109480465094</v>
      </c>
      <c r="O291">
        <v>0.99987687844845685</v>
      </c>
      <c r="P291">
        <v>0</v>
      </c>
      <c r="Q291">
        <v>0</v>
      </c>
      <c r="R291">
        <v>0</v>
      </c>
      <c r="S291">
        <v>0</v>
      </c>
    </row>
    <row r="292" spans="1:19" ht="15" x14ac:dyDescent="0.25">
      <c r="A292" t="s">
        <v>626</v>
      </c>
      <c r="C292" t="s">
        <v>22</v>
      </c>
      <c r="D292" t="s">
        <v>33</v>
      </c>
      <c r="E292" t="s">
        <v>34</v>
      </c>
      <c r="F292" t="s">
        <v>26</v>
      </c>
      <c r="G292">
        <v>0</v>
      </c>
      <c r="H292">
        <v>0</v>
      </c>
      <c r="I292">
        <v>0</v>
      </c>
      <c r="J292">
        <v>0</v>
      </c>
      <c r="K292">
        <v>0</v>
      </c>
      <c r="L292">
        <v>0</v>
      </c>
      <c r="M292">
        <v>0</v>
      </c>
      <c r="N292">
        <v>0.86588774805920499</v>
      </c>
      <c r="O292">
        <v>0.99998402911185846</v>
      </c>
      <c r="P292">
        <v>0</v>
      </c>
      <c r="Q292">
        <v>0</v>
      </c>
      <c r="R292">
        <v>0</v>
      </c>
      <c r="S292">
        <v>0</v>
      </c>
    </row>
    <row r="293" spans="1:19" ht="15" x14ac:dyDescent="0.25">
      <c r="A293" t="s">
        <v>600</v>
      </c>
      <c r="C293" t="s">
        <v>22</v>
      </c>
      <c r="D293" t="s">
        <v>33</v>
      </c>
      <c r="E293" t="s">
        <v>34</v>
      </c>
      <c r="F293" t="s">
        <v>26</v>
      </c>
      <c r="G293">
        <v>0</v>
      </c>
      <c r="H293">
        <v>0</v>
      </c>
      <c r="I293">
        <v>0</v>
      </c>
      <c r="J293">
        <v>0</v>
      </c>
      <c r="K293">
        <v>0</v>
      </c>
      <c r="L293">
        <v>0</v>
      </c>
      <c r="M293">
        <v>0</v>
      </c>
      <c r="N293">
        <v>0.86588774805920499</v>
      </c>
      <c r="O293">
        <v>0.99998402911185846</v>
      </c>
      <c r="P293">
        <v>0</v>
      </c>
      <c r="Q293">
        <v>0</v>
      </c>
      <c r="R293">
        <v>0</v>
      </c>
      <c r="S293">
        <v>0</v>
      </c>
    </row>
    <row r="294" spans="1:19" ht="15" x14ac:dyDescent="0.25">
      <c r="A294" t="s">
        <v>627</v>
      </c>
      <c r="C294" t="s">
        <v>22</v>
      </c>
      <c r="D294" t="s">
        <v>33</v>
      </c>
      <c r="E294" t="s">
        <v>34</v>
      </c>
      <c r="F294" t="s">
        <v>26</v>
      </c>
      <c r="G294">
        <v>0</v>
      </c>
      <c r="H294">
        <v>0</v>
      </c>
      <c r="I294">
        <v>0</v>
      </c>
      <c r="J294">
        <v>0</v>
      </c>
      <c r="K294">
        <v>0</v>
      </c>
      <c r="L294">
        <v>0</v>
      </c>
      <c r="M294">
        <v>0</v>
      </c>
      <c r="N294">
        <v>0.86588774805920499</v>
      </c>
      <c r="O294">
        <v>0.99998402911185846</v>
      </c>
      <c r="P294">
        <v>0</v>
      </c>
      <c r="Q294">
        <v>0</v>
      </c>
      <c r="R294">
        <v>0</v>
      </c>
      <c r="S294">
        <v>0</v>
      </c>
    </row>
    <row r="295" spans="1:19" ht="15" x14ac:dyDescent="0.25">
      <c r="A295" t="s">
        <v>629</v>
      </c>
      <c r="C295" t="s">
        <v>22</v>
      </c>
      <c r="D295" t="s">
        <v>33</v>
      </c>
      <c r="E295" t="s">
        <v>34</v>
      </c>
      <c r="F295" t="s">
        <v>26</v>
      </c>
      <c r="G295">
        <v>0</v>
      </c>
      <c r="H295">
        <v>0</v>
      </c>
      <c r="I295">
        <v>0</v>
      </c>
      <c r="J295">
        <v>0</v>
      </c>
      <c r="K295">
        <v>0</v>
      </c>
      <c r="L295">
        <v>0</v>
      </c>
      <c r="M295">
        <v>0</v>
      </c>
      <c r="N295">
        <v>0.86588774805920499</v>
      </c>
      <c r="O295">
        <v>0.99998402911185846</v>
      </c>
      <c r="P295">
        <v>0</v>
      </c>
      <c r="Q295">
        <v>0</v>
      </c>
      <c r="R295">
        <v>0</v>
      </c>
      <c r="S295">
        <v>0</v>
      </c>
    </row>
    <row r="296" spans="1:19" ht="15" x14ac:dyDescent="0.25">
      <c r="A296" t="s">
        <v>669</v>
      </c>
      <c r="C296" t="s">
        <v>22</v>
      </c>
      <c r="D296" t="s">
        <v>33</v>
      </c>
      <c r="E296" t="s">
        <v>34</v>
      </c>
      <c r="F296" t="s">
        <v>26</v>
      </c>
      <c r="G296">
        <v>0</v>
      </c>
      <c r="H296">
        <v>0</v>
      </c>
      <c r="I296">
        <v>0</v>
      </c>
      <c r="J296">
        <v>0</v>
      </c>
      <c r="K296">
        <v>0</v>
      </c>
      <c r="L296">
        <v>0</v>
      </c>
      <c r="M296">
        <v>0</v>
      </c>
      <c r="N296">
        <v>0.99282585790381339</v>
      </c>
      <c r="O296">
        <v>0.99999999988866861</v>
      </c>
      <c r="P296">
        <v>0</v>
      </c>
      <c r="Q296">
        <v>0</v>
      </c>
      <c r="R296">
        <v>0</v>
      </c>
      <c r="S296">
        <v>0</v>
      </c>
    </row>
    <row r="297" spans="1:19" ht="15" x14ac:dyDescent="0.25">
      <c r="A297" t="s">
        <v>603</v>
      </c>
      <c r="C297" t="s">
        <v>22</v>
      </c>
      <c r="D297" t="s">
        <v>33</v>
      </c>
      <c r="E297" t="s">
        <v>34</v>
      </c>
      <c r="F297" t="s">
        <v>26</v>
      </c>
      <c r="G297">
        <v>0</v>
      </c>
      <c r="H297">
        <v>0</v>
      </c>
      <c r="I297">
        <v>0</v>
      </c>
      <c r="J297">
        <v>0</v>
      </c>
      <c r="K297">
        <v>0</v>
      </c>
      <c r="L297">
        <v>0</v>
      </c>
      <c r="M297">
        <v>0</v>
      </c>
      <c r="N297">
        <v>0.86588774805920499</v>
      </c>
      <c r="O297">
        <v>0.99998402911185846</v>
      </c>
      <c r="P297">
        <v>0</v>
      </c>
      <c r="Q297">
        <v>0</v>
      </c>
      <c r="R297">
        <v>0</v>
      </c>
      <c r="S297">
        <v>0</v>
      </c>
    </row>
    <row r="298" spans="1:19" ht="15" x14ac:dyDescent="0.25">
      <c r="A298" t="s">
        <v>586</v>
      </c>
      <c r="C298" t="s">
        <v>22</v>
      </c>
      <c r="D298" t="s">
        <v>33</v>
      </c>
      <c r="E298" t="s">
        <v>34</v>
      </c>
      <c r="F298" t="s">
        <v>26</v>
      </c>
      <c r="G298">
        <v>0</v>
      </c>
      <c r="H298">
        <v>0</v>
      </c>
      <c r="I298">
        <v>0</v>
      </c>
      <c r="J298">
        <v>0</v>
      </c>
      <c r="K298">
        <v>0</v>
      </c>
      <c r="L298">
        <v>0</v>
      </c>
      <c r="M298">
        <v>0</v>
      </c>
      <c r="N298">
        <v>0.86588774805920499</v>
      </c>
      <c r="O298">
        <v>0.99998402911185846</v>
      </c>
      <c r="P298">
        <v>0</v>
      </c>
      <c r="Q298">
        <v>0</v>
      </c>
      <c r="R298">
        <v>0</v>
      </c>
      <c r="S298">
        <v>0</v>
      </c>
    </row>
    <row r="299" spans="1:19" ht="15" x14ac:dyDescent="0.25">
      <c r="A299" t="s">
        <v>587</v>
      </c>
      <c r="C299" t="s">
        <v>22</v>
      </c>
      <c r="D299" t="s">
        <v>33</v>
      </c>
      <c r="E299" t="s">
        <v>34</v>
      </c>
      <c r="F299" t="s">
        <v>26</v>
      </c>
      <c r="G299">
        <v>0</v>
      </c>
      <c r="H299">
        <v>0</v>
      </c>
      <c r="I299">
        <v>0</v>
      </c>
      <c r="J299">
        <v>0</v>
      </c>
      <c r="K299">
        <v>0</v>
      </c>
      <c r="L299">
        <v>0</v>
      </c>
      <c r="M299">
        <v>0</v>
      </c>
      <c r="N299">
        <v>0.80573530187347964</v>
      </c>
      <c r="O299">
        <v>0.99992364610504736</v>
      </c>
      <c r="P299">
        <v>0</v>
      </c>
      <c r="Q299">
        <v>0</v>
      </c>
      <c r="R299">
        <v>0</v>
      </c>
      <c r="S299">
        <v>0</v>
      </c>
    </row>
    <row r="300" spans="1:19" ht="15" x14ac:dyDescent="0.25">
      <c r="A300" t="s">
        <v>670</v>
      </c>
      <c r="C300" t="s">
        <v>22</v>
      </c>
      <c r="D300" t="s">
        <v>33</v>
      </c>
      <c r="E300" t="s">
        <v>34</v>
      </c>
      <c r="F300" t="s">
        <v>26</v>
      </c>
      <c r="G300">
        <v>7.4249999999999998</v>
      </c>
      <c r="H300">
        <v>0.01</v>
      </c>
      <c r="I300">
        <v>0</v>
      </c>
      <c r="J300">
        <v>0</v>
      </c>
      <c r="K300">
        <v>17.82</v>
      </c>
      <c r="L300">
        <v>7.1279999999999996E-2</v>
      </c>
      <c r="M300">
        <v>0</v>
      </c>
      <c r="N300">
        <v>0.74976159223904126</v>
      </c>
      <c r="O300">
        <v>0.99977207838154314</v>
      </c>
      <c r="P300">
        <v>0</v>
      </c>
      <c r="Q300">
        <v>69.933999999999997</v>
      </c>
      <c r="R300">
        <v>69.933999999999997</v>
      </c>
      <c r="S300">
        <v>312.154132</v>
      </c>
    </row>
    <row r="301" spans="1:19" ht="15" x14ac:dyDescent="0.25">
      <c r="A301" t="s">
        <v>590</v>
      </c>
      <c r="C301" t="s">
        <v>22</v>
      </c>
      <c r="D301" t="s">
        <v>33</v>
      </c>
      <c r="E301" t="s">
        <v>34</v>
      </c>
      <c r="F301" t="s">
        <v>26</v>
      </c>
      <c r="G301">
        <v>0</v>
      </c>
      <c r="H301">
        <v>0</v>
      </c>
      <c r="I301">
        <v>0</v>
      </c>
      <c r="J301">
        <v>0</v>
      </c>
      <c r="K301">
        <v>0</v>
      </c>
      <c r="L301">
        <v>0</v>
      </c>
      <c r="M301">
        <v>0</v>
      </c>
      <c r="N301">
        <v>0.86588774805920499</v>
      </c>
      <c r="O301">
        <v>0.99998402911185846</v>
      </c>
      <c r="P301">
        <v>0</v>
      </c>
      <c r="Q301">
        <v>0</v>
      </c>
      <c r="R301">
        <v>0</v>
      </c>
      <c r="S301">
        <v>0</v>
      </c>
    </row>
    <row r="302" spans="1:19" ht="15" x14ac:dyDescent="0.25">
      <c r="A302" t="s">
        <v>618</v>
      </c>
      <c r="C302" t="s">
        <v>22</v>
      </c>
      <c r="D302" t="s">
        <v>33</v>
      </c>
      <c r="E302" t="s">
        <v>34</v>
      </c>
      <c r="F302" t="s">
        <v>26</v>
      </c>
      <c r="G302">
        <v>0</v>
      </c>
      <c r="H302">
        <v>0</v>
      </c>
      <c r="I302">
        <v>0</v>
      </c>
      <c r="J302">
        <v>0</v>
      </c>
      <c r="K302">
        <v>0</v>
      </c>
      <c r="L302">
        <v>0</v>
      </c>
      <c r="M302">
        <v>0</v>
      </c>
      <c r="N302">
        <v>0.86588774805920499</v>
      </c>
      <c r="O302">
        <v>0.99998402911185846</v>
      </c>
      <c r="P302">
        <v>0</v>
      </c>
      <c r="Q302">
        <v>0</v>
      </c>
      <c r="R302">
        <v>0</v>
      </c>
      <c r="S302">
        <v>0</v>
      </c>
    </row>
    <row r="303" spans="1:19" ht="15" x14ac:dyDescent="0.25">
      <c r="A303" t="s">
        <v>631</v>
      </c>
      <c r="C303" t="s">
        <v>22</v>
      </c>
      <c r="D303" t="s">
        <v>33</v>
      </c>
      <c r="E303" t="s">
        <v>34</v>
      </c>
      <c r="F303" t="s">
        <v>26</v>
      </c>
      <c r="G303">
        <v>0</v>
      </c>
      <c r="H303">
        <v>0</v>
      </c>
      <c r="I303">
        <v>0</v>
      </c>
      <c r="J303">
        <v>0</v>
      </c>
      <c r="K303">
        <v>0</v>
      </c>
      <c r="L303">
        <v>0</v>
      </c>
      <c r="M303">
        <v>0</v>
      </c>
      <c r="N303">
        <v>0.9173593571621208</v>
      </c>
      <c r="O303">
        <v>0.99999784711462369</v>
      </c>
      <c r="P303">
        <v>0</v>
      </c>
      <c r="Q303">
        <v>0</v>
      </c>
      <c r="R303">
        <v>0</v>
      </c>
      <c r="S303">
        <v>0</v>
      </c>
    </row>
    <row r="304" spans="1:19" ht="15" x14ac:dyDescent="0.25">
      <c r="A304" t="s">
        <v>593</v>
      </c>
      <c r="C304" t="s">
        <v>22</v>
      </c>
      <c r="D304" t="s">
        <v>33</v>
      </c>
      <c r="E304" t="s">
        <v>34</v>
      </c>
      <c r="F304" t="s">
        <v>26</v>
      </c>
      <c r="G304">
        <v>0</v>
      </c>
      <c r="H304">
        <v>0</v>
      </c>
      <c r="I304">
        <v>0</v>
      </c>
      <c r="J304">
        <v>0</v>
      </c>
      <c r="K304">
        <v>0</v>
      </c>
      <c r="L304">
        <v>0</v>
      </c>
      <c r="M304">
        <v>0</v>
      </c>
      <c r="N304">
        <v>0.99282585790381339</v>
      </c>
      <c r="O304">
        <v>0.99999999988866861</v>
      </c>
      <c r="P304">
        <v>0</v>
      </c>
      <c r="Q304">
        <v>0</v>
      </c>
      <c r="R304">
        <v>0</v>
      </c>
      <c r="S304">
        <v>0</v>
      </c>
    </row>
    <row r="305" spans="1:19" ht="15" x14ac:dyDescent="0.25">
      <c r="A305" t="s">
        <v>673</v>
      </c>
      <c r="C305" t="s">
        <v>22</v>
      </c>
      <c r="D305" t="s">
        <v>33</v>
      </c>
      <c r="E305" t="s">
        <v>34</v>
      </c>
      <c r="F305" t="s">
        <v>26</v>
      </c>
      <c r="G305">
        <v>0</v>
      </c>
      <c r="H305">
        <v>0</v>
      </c>
      <c r="I305">
        <v>0</v>
      </c>
      <c r="J305">
        <v>0</v>
      </c>
      <c r="K305">
        <v>0</v>
      </c>
      <c r="L305">
        <v>0</v>
      </c>
      <c r="M305">
        <v>0</v>
      </c>
      <c r="N305">
        <v>0.69767632607103103</v>
      </c>
      <c r="O305">
        <v>0.99947436049753335</v>
      </c>
      <c r="P305">
        <v>0</v>
      </c>
      <c r="Q305">
        <v>0</v>
      </c>
      <c r="R305">
        <v>0</v>
      </c>
      <c r="S305">
        <v>0</v>
      </c>
    </row>
    <row r="306" spans="1:19" ht="15" x14ac:dyDescent="0.25">
      <c r="A306" t="s">
        <v>596</v>
      </c>
      <c r="C306" t="s">
        <v>22</v>
      </c>
      <c r="D306" t="s">
        <v>33</v>
      </c>
      <c r="E306" t="s">
        <v>34</v>
      </c>
      <c r="F306" t="s">
        <v>26</v>
      </c>
      <c r="G306">
        <v>0</v>
      </c>
      <c r="H306">
        <v>0</v>
      </c>
      <c r="I306">
        <v>0</v>
      </c>
      <c r="J306">
        <v>0</v>
      </c>
      <c r="K306">
        <v>0</v>
      </c>
      <c r="L306">
        <v>0</v>
      </c>
      <c r="M306">
        <v>0</v>
      </c>
      <c r="N306">
        <v>0.86588774805920499</v>
      </c>
      <c r="O306">
        <v>0.99998402911185846</v>
      </c>
      <c r="P306">
        <v>0</v>
      </c>
      <c r="Q306">
        <v>0</v>
      </c>
      <c r="R306">
        <v>0</v>
      </c>
      <c r="S306">
        <v>0</v>
      </c>
    </row>
    <row r="307" spans="1:19" ht="15" x14ac:dyDescent="0.25">
      <c r="A307" t="s">
        <v>624</v>
      </c>
      <c r="C307" t="s">
        <v>22</v>
      </c>
      <c r="D307" t="s">
        <v>33</v>
      </c>
      <c r="E307" t="s">
        <v>34</v>
      </c>
      <c r="F307" t="s">
        <v>26</v>
      </c>
      <c r="G307">
        <v>0</v>
      </c>
      <c r="H307">
        <v>0</v>
      </c>
      <c r="I307">
        <v>0</v>
      </c>
      <c r="J307">
        <v>0</v>
      </c>
      <c r="K307">
        <v>0</v>
      </c>
      <c r="L307">
        <v>0</v>
      </c>
      <c r="M307">
        <v>0</v>
      </c>
      <c r="N307">
        <v>0.80573530187347964</v>
      </c>
      <c r="O307">
        <v>0.99992364610504736</v>
      </c>
      <c r="P307">
        <v>0</v>
      </c>
      <c r="Q307">
        <v>0</v>
      </c>
      <c r="R307">
        <v>0</v>
      </c>
      <c r="S307">
        <v>0</v>
      </c>
    </row>
    <row r="308" spans="1:19" ht="15" x14ac:dyDescent="0.25">
      <c r="A308" t="s">
        <v>620</v>
      </c>
      <c r="C308" t="s">
        <v>22</v>
      </c>
      <c r="D308" t="s">
        <v>33</v>
      </c>
      <c r="E308" t="s">
        <v>34</v>
      </c>
      <c r="F308" t="s">
        <v>26</v>
      </c>
      <c r="G308">
        <v>0</v>
      </c>
      <c r="H308">
        <v>0</v>
      </c>
      <c r="I308">
        <v>0</v>
      </c>
      <c r="J308">
        <v>0</v>
      </c>
      <c r="K308">
        <v>0</v>
      </c>
      <c r="L308">
        <v>0</v>
      </c>
      <c r="M308">
        <v>0</v>
      </c>
      <c r="N308">
        <v>0.78286109480465094</v>
      </c>
      <c r="O308">
        <v>0.99987687844845685</v>
      </c>
      <c r="P308">
        <v>0</v>
      </c>
      <c r="Q308">
        <v>0</v>
      </c>
      <c r="R308">
        <v>0</v>
      </c>
      <c r="S308">
        <v>0</v>
      </c>
    </row>
    <row r="309" spans="1:19" ht="15" x14ac:dyDescent="0.25">
      <c r="A309" t="s">
        <v>674</v>
      </c>
      <c r="C309" t="s">
        <v>22</v>
      </c>
      <c r="D309" t="s">
        <v>33</v>
      </c>
      <c r="E309" t="s">
        <v>34</v>
      </c>
      <c r="F309" t="s">
        <v>26</v>
      </c>
      <c r="G309">
        <v>0</v>
      </c>
      <c r="H309">
        <v>0</v>
      </c>
      <c r="I309">
        <v>0</v>
      </c>
      <c r="J309">
        <v>0</v>
      </c>
      <c r="K309">
        <v>0</v>
      </c>
      <c r="L309">
        <v>0</v>
      </c>
      <c r="M309">
        <v>0</v>
      </c>
      <c r="N309">
        <v>0.86588774805920499</v>
      </c>
      <c r="O309">
        <v>0.99998402911185846</v>
      </c>
      <c r="P309">
        <v>0</v>
      </c>
      <c r="Q309">
        <v>0</v>
      </c>
      <c r="R309">
        <v>0</v>
      </c>
      <c r="S309">
        <v>0</v>
      </c>
    </row>
    <row r="310" spans="1:19" ht="15" x14ac:dyDescent="0.25">
      <c r="A310" t="s">
        <v>626</v>
      </c>
      <c r="C310" t="s">
        <v>22</v>
      </c>
      <c r="D310" t="s">
        <v>33</v>
      </c>
      <c r="E310" t="s">
        <v>34</v>
      </c>
      <c r="F310" t="s">
        <v>26</v>
      </c>
      <c r="G310">
        <v>0</v>
      </c>
      <c r="H310">
        <v>0</v>
      </c>
      <c r="I310">
        <v>0</v>
      </c>
      <c r="J310">
        <v>0</v>
      </c>
      <c r="K310">
        <v>0</v>
      </c>
      <c r="L310">
        <v>0</v>
      </c>
      <c r="M310">
        <v>0</v>
      </c>
      <c r="N310">
        <v>0.86588774805920499</v>
      </c>
      <c r="O310">
        <v>0.99998402911185846</v>
      </c>
      <c r="P310">
        <v>0</v>
      </c>
      <c r="Q310">
        <v>0</v>
      </c>
      <c r="R310">
        <v>0</v>
      </c>
      <c r="S310">
        <v>0</v>
      </c>
    </row>
    <row r="311" spans="1:19" ht="15" x14ac:dyDescent="0.25">
      <c r="A311" t="s">
        <v>676</v>
      </c>
      <c r="C311" t="s">
        <v>22</v>
      </c>
      <c r="D311" t="s">
        <v>33</v>
      </c>
      <c r="E311" t="s">
        <v>34</v>
      </c>
      <c r="F311" t="s">
        <v>26</v>
      </c>
      <c r="G311">
        <v>0</v>
      </c>
      <c r="H311">
        <v>0</v>
      </c>
      <c r="I311">
        <v>0</v>
      </c>
      <c r="J311">
        <v>0</v>
      </c>
      <c r="K311">
        <v>0</v>
      </c>
      <c r="L311">
        <v>0</v>
      </c>
      <c r="M311">
        <v>0</v>
      </c>
      <c r="N311">
        <v>0.86588774805920499</v>
      </c>
      <c r="O311">
        <v>0.99998402911185846</v>
      </c>
      <c r="P311">
        <v>0</v>
      </c>
      <c r="Q311">
        <v>0</v>
      </c>
      <c r="R311">
        <v>0</v>
      </c>
      <c r="S311">
        <v>0</v>
      </c>
    </row>
    <row r="312" spans="1:19" ht="15" x14ac:dyDescent="0.25">
      <c r="A312" t="s">
        <v>677</v>
      </c>
      <c r="C312" t="s">
        <v>22</v>
      </c>
      <c r="D312" t="s">
        <v>33</v>
      </c>
      <c r="E312" t="s">
        <v>34</v>
      </c>
      <c r="F312" t="s">
        <v>26</v>
      </c>
      <c r="G312">
        <v>0</v>
      </c>
      <c r="H312">
        <v>0</v>
      </c>
      <c r="I312">
        <v>0</v>
      </c>
      <c r="J312">
        <v>0</v>
      </c>
      <c r="K312">
        <v>0</v>
      </c>
      <c r="L312">
        <v>0</v>
      </c>
      <c r="M312">
        <v>0</v>
      </c>
      <c r="N312">
        <v>0.86588774805920499</v>
      </c>
      <c r="O312">
        <v>0.99998402911185846</v>
      </c>
      <c r="P312">
        <v>0</v>
      </c>
      <c r="Q312">
        <v>0</v>
      </c>
      <c r="R312">
        <v>0</v>
      </c>
      <c r="S312">
        <v>0</v>
      </c>
    </row>
    <row r="313" spans="1:19" ht="15" x14ac:dyDescent="0.25">
      <c r="A313" t="s">
        <v>627</v>
      </c>
      <c r="C313" t="s">
        <v>22</v>
      </c>
      <c r="D313" t="s">
        <v>33</v>
      </c>
      <c r="E313" t="s">
        <v>34</v>
      </c>
      <c r="F313" t="s">
        <v>26</v>
      </c>
      <c r="G313">
        <v>0</v>
      </c>
      <c r="H313">
        <v>0</v>
      </c>
      <c r="I313">
        <v>0</v>
      </c>
      <c r="J313">
        <v>0</v>
      </c>
      <c r="K313">
        <v>0</v>
      </c>
      <c r="L313">
        <v>0</v>
      </c>
      <c r="M313">
        <v>0</v>
      </c>
      <c r="N313">
        <v>0.86588774805920499</v>
      </c>
      <c r="O313">
        <v>0.99998402911185846</v>
      </c>
      <c r="P313">
        <v>0</v>
      </c>
      <c r="Q313">
        <v>0</v>
      </c>
      <c r="R313">
        <v>0</v>
      </c>
      <c r="S313">
        <v>0</v>
      </c>
    </row>
    <row r="314" spans="1:19" ht="15" x14ac:dyDescent="0.25">
      <c r="A314" t="s">
        <v>629</v>
      </c>
      <c r="C314" t="s">
        <v>22</v>
      </c>
      <c r="D314" t="s">
        <v>33</v>
      </c>
      <c r="E314" t="s">
        <v>34</v>
      </c>
      <c r="F314" t="s">
        <v>26</v>
      </c>
      <c r="G314">
        <v>0</v>
      </c>
      <c r="H314">
        <v>0</v>
      </c>
      <c r="I314">
        <v>0</v>
      </c>
      <c r="J314">
        <v>0</v>
      </c>
      <c r="K314">
        <v>0</v>
      </c>
      <c r="L314">
        <v>0</v>
      </c>
      <c r="M314">
        <v>0</v>
      </c>
      <c r="N314">
        <v>0.86588774805920499</v>
      </c>
      <c r="O314">
        <v>0.99998402911185846</v>
      </c>
      <c r="P314">
        <v>0</v>
      </c>
      <c r="Q314">
        <v>0</v>
      </c>
      <c r="R314">
        <v>0</v>
      </c>
      <c r="S314">
        <v>0</v>
      </c>
    </row>
    <row r="315" spans="1:19" ht="15" x14ac:dyDescent="0.25">
      <c r="A315" t="s">
        <v>603</v>
      </c>
      <c r="C315" t="s">
        <v>22</v>
      </c>
      <c r="D315" t="s">
        <v>33</v>
      </c>
      <c r="E315" t="s">
        <v>34</v>
      </c>
      <c r="F315" t="s">
        <v>26</v>
      </c>
      <c r="G315">
        <v>0</v>
      </c>
      <c r="H315">
        <v>0</v>
      </c>
      <c r="I315">
        <v>0</v>
      </c>
      <c r="J315">
        <v>0</v>
      </c>
      <c r="K315">
        <v>0</v>
      </c>
      <c r="L315">
        <v>0</v>
      </c>
      <c r="M315">
        <v>0</v>
      </c>
      <c r="N315">
        <v>0.86588774805920499</v>
      </c>
      <c r="O315">
        <v>0.99998402911185846</v>
      </c>
      <c r="P315">
        <v>0</v>
      </c>
      <c r="Q315">
        <v>0</v>
      </c>
      <c r="R315">
        <v>0</v>
      </c>
      <c r="S315">
        <v>0</v>
      </c>
    </row>
    <row r="316" spans="1:19" ht="15" x14ac:dyDescent="0.25">
      <c r="A316" t="s">
        <v>586</v>
      </c>
      <c r="C316" t="s">
        <v>22</v>
      </c>
      <c r="D316" t="s">
        <v>33</v>
      </c>
      <c r="E316" t="s">
        <v>34</v>
      </c>
      <c r="F316" t="s">
        <v>26</v>
      </c>
      <c r="G316">
        <v>0</v>
      </c>
      <c r="H316">
        <v>0</v>
      </c>
      <c r="I316">
        <v>0</v>
      </c>
      <c r="J316">
        <v>0</v>
      </c>
      <c r="K316">
        <v>0</v>
      </c>
      <c r="L316">
        <v>0</v>
      </c>
      <c r="M316">
        <v>0</v>
      </c>
      <c r="N316">
        <v>0.86588774805920499</v>
      </c>
      <c r="O316">
        <v>0.99998402911185846</v>
      </c>
      <c r="P316">
        <v>0</v>
      </c>
      <c r="Q316">
        <v>0</v>
      </c>
      <c r="R316">
        <v>0</v>
      </c>
      <c r="S316">
        <v>0</v>
      </c>
    </row>
    <row r="317" spans="1:19" ht="15" x14ac:dyDescent="0.25">
      <c r="A317" t="s">
        <v>587</v>
      </c>
      <c r="C317" t="s">
        <v>22</v>
      </c>
      <c r="D317" t="s">
        <v>33</v>
      </c>
      <c r="E317" t="s">
        <v>34</v>
      </c>
      <c r="F317" t="s">
        <v>26</v>
      </c>
      <c r="G317">
        <v>0</v>
      </c>
      <c r="H317">
        <v>0</v>
      </c>
      <c r="I317">
        <v>0</v>
      </c>
      <c r="J317">
        <v>0</v>
      </c>
      <c r="K317">
        <v>0</v>
      </c>
      <c r="L317">
        <v>0</v>
      </c>
      <c r="M317">
        <v>0</v>
      </c>
      <c r="N317">
        <v>0.80573530187347964</v>
      </c>
      <c r="O317">
        <v>0.99992364610504736</v>
      </c>
      <c r="P317">
        <v>0</v>
      </c>
      <c r="Q317">
        <v>0</v>
      </c>
      <c r="R317">
        <v>0</v>
      </c>
      <c r="S317">
        <v>0</v>
      </c>
    </row>
    <row r="318" spans="1:19" ht="15" x14ac:dyDescent="0.25">
      <c r="A318" t="s">
        <v>590</v>
      </c>
      <c r="C318" t="s">
        <v>22</v>
      </c>
      <c r="D318" t="s">
        <v>33</v>
      </c>
      <c r="E318" t="s">
        <v>34</v>
      </c>
      <c r="F318" t="s">
        <v>26</v>
      </c>
      <c r="G318">
        <v>0</v>
      </c>
      <c r="H318">
        <v>0</v>
      </c>
      <c r="I318">
        <v>0</v>
      </c>
      <c r="J318">
        <v>0</v>
      </c>
      <c r="K318">
        <v>0</v>
      </c>
      <c r="L318">
        <v>0</v>
      </c>
      <c r="M318">
        <v>0</v>
      </c>
      <c r="N318">
        <v>0.86588774805920499</v>
      </c>
      <c r="O318">
        <v>0.99998402911185846</v>
      </c>
      <c r="P318">
        <v>0</v>
      </c>
      <c r="Q318">
        <v>0</v>
      </c>
      <c r="R318">
        <v>0</v>
      </c>
      <c r="S318">
        <v>0</v>
      </c>
    </row>
    <row r="319" spans="1:19" ht="15" x14ac:dyDescent="0.25">
      <c r="A319" t="s">
        <v>618</v>
      </c>
      <c r="C319" t="s">
        <v>22</v>
      </c>
      <c r="D319" t="s">
        <v>33</v>
      </c>
      <c r="E319" t="s">
        <v>34</v>
      </c>
      <c r="F319" t="s">
        <v>26</v>
      </c>
      <c r="G319">
        <v>0</v>
      </c>
      <c r="H319">
        <v>0</v>
      </c>
      <c r="I319">
        <v>0</v>
      </c>
      <c r="J319">
        <v>0</v>
      </c>
      <c r="K319">
        <v>0</v>
      </c>
      <c r="L319">
        <v>0</v>
      </c>
      <c r="M319">
        <v>0</v>
      </c>
      <c r="N319">
        <v>0.86588774805920499</v>
      </c>
      <c r="O319">
        <v>0.99998402911185846</v>
      </c>
      <c r="P319">
        <v>0</v>
      </c>
      <c r="Q319">
        <v>0</v>
      </c>
      <c r="R319">
        <v>0</v>
      </c>
      <c r="S319">
        <v>0</v>
      </c>
    </row>
    <row r="320" spans="1:19" ht="15" x14ac:dyDescent="0.25">
      <c r="A320" t="s">
        <v>631</v>
      </c>
      <c r="C320" t="s">
        <v>22</v>
      </c>
      <c r="D320" t="s">
        <v>33</v>
      </c>
      <c r="E320" t="s">
        <v>34</v>
      </c>
      <c r="F320" t="s">
        <v>26</v>
      </c>
      <c r="G320">
        <v>0</v>
      </c>
      <c r="H320">
        <v>0</v>
      </c>
      <c r="I320">
        <v>0</v>
      </c>
      <c r="J320">
        <v>0</v>
      </c>
      <c r="K320">
        <v>0</v>
      </c>
      <c r="L320">
        <v>0</v>
      </c>
      <c r="M320">
        <v>0</v>
      </c>
      <c r="N320">
        <v>0.9173593571621208</v>
      </c>
      <c r="O320">
        <v>0.99999784711462369</v>
      </c>
      <c r="P320">
        <v>0</v>
      </c>
      <c r="Q320">
        <v>0</v>
      </c>
      <c r="R320">
        <v>0</v>
      </c>
      <c r="S320">
        <v>0</v>
      </c>
    </row>
    <row r="321" spans="1:19" ht="15" x14ac:dyDescent="0.25">
      <c r="A321" t="s">
        <v>678</v>
      </c>
      <c r="C321" t="s">
        <v>139</v>
      </c>
      <c r="D321" t="s">
        <v>23</v>
      </c>
      <c r="E321" t="s">
        <v>34</v>
      </c>
      <c r="F321" t="s">
        <v>35</v>
      </c>
      <c r="G321">
        <v>1078.3208333333332</v>
      </c>
      <c r="H321">
        <v>4.4813333333333336</v>
      </c>
      <c r="I321">
        <v>551.42806666666661</v>
      </c>
      <c r="J321">
        <v>3391.9716149999999</v>
      </c>
      <c r="K321">
        <v>286.44</v>
      </c>
      <c r="L321">
        <v>1.1457600000000001</v>
      </c>
      <c r="M321">
        <v>0</v>
      </c>
      <c r="N321">
        <v>0</v>
      </c>
      <c r="O321">
        <v>0</v>
      </c>
      <c r="P321">
        <v>0</v>
      </c>
      <c r="Q321">
        <v>17663.504822806495</v>
      </c>
      <c r="R321">
        <v>17663.504822806495</v>
      </c>
      <c r="S321">
        <v>21556.969166806495</v>
      </c>
    </row>
    <row r="322" spans="1:19" ht="15" x14ac:dyDescent="0.25">
      <c r="A322" t="s">
        <v>81</v>
      </c>
      <c r="C322" t="s">
        <v>139</v>
      </c>
      <c r="D322" t="s">
        <v>23</v>
      </c>
      <c r="E322" t="s">
        <v>34</v>
      </c>
      <c r="F322" t="s">
        <v>26</v>
      </c>
      <c r="G322">
        <v>0</v>
      </c>
      <c r="H322">
        <v>0</v>
      </c>
      <c r="I322">
        <v>0</v>
      </c>
      <c r="J322">
        <v>0</v>
      </c>
      <c r="K322">
        <v>0</v>
      </c>
      <c r="L322">
        <v>0</v>
      </c>
      <c r="M322">
        <v>0</v>
      </c>
      <c r="N322">
        <v>0.8911878885041844</v>
      </c>
      <c r="O322">
        <v>0.99999330652801821</v>
      </c>
      <c r="P322">
        <v>0</v>
      </c>
      <c r="Q322">
        <v>0</v>
      </c>
      <c r="R322">
        <v>0</v>
      </c>
      <c r="S322">
        <v>0</v>
      </c>
    </row>
    <row r="323" spans="1:19" ht="15" x14ac:dyDescent="0.25">
      <c r="A323" t="s">
        <v>668</v>
      </c>
      <c r="C323" t="s">
        <v>139</v>
      </c>
      <c r="D323" t="s">
        <v>23</v>
      </c>
      <c r="E323" t="s">
        <v>34</v>
      </c>
      <c r="F323" t="s">
        <v>26</v>
      </c>
      <c r="G323">
        <v>0</v>
      </c>
      <c r="H323">
        <v>0</v>
      </c>
      <c r="I323">
        <v>0</v>
      </c>
      <c r="J323">
        <v>0</v>
      </c>
      <c r="K323">
        <v>0</v>
      </c>
      <c r="L323">
        <v>0</v>
      </c>
      <c r="M323">
        <v>0</v>
      </c>
      <c r="N323">
        <v>0.99282585790381339</v>
      </c>
      <c r="O323">
        <v>0.99999999988866861</v>
      </c>
      <c r="P323">
        <v>0</v>
      </c>
      <c r="Q323">
        <v>0</v>
      </c>
      <c r="R323">
        <v>0</v>
      </c>
      <c r="S323">
        <v>0</v>
      </c>
    </row>
    <row r="324" spans="1:19" ht="15" x14ac:dyDescent="0.25">
      <c r="A324" t="s">
        <v>680</v>
      </c>
      <c r="C324" t="s">
        <v>139</v>
      </c>
      <c r="D324" t="s">
        <v>23</v>
      </c>
      <c r="E324" t="s">
        <v>34</v>
      </c>
      <c r="F324" t="s">
        <v>26</v>
      </c>
      <c r="G324">
        <v>0</v>
      </c>
      <c r="H324">
        <v>0</v>
      </c>
      <c r="I324">
        <v>0</v>
      </c>
      <c r="J324">
        <v>0</v>
      </c>
      <c r="K324">
        <v>0</v>
      </c>
      <c r="L324">
        <v>0</v>
      </c>
      <c r="M324">
        <v>0</v>
      </c>
      <c r="N324">
        <v>0.69767632607103103</v>
      </c>
      <c r="O324">
        <v>0.99947436049753335</v>
      </c>
      <c r="P324">
        <v>0</v>
      </c>
      <c r="Q324">
        <v>0</v>
      </c>
      <c r="R324">
        <v>0</v>
      </c>
      <c r="S324">
        <v>0</v>
      </c>
    </row>
    <row r="325" spans="1:19" ht="15" x14ac:dyDescent="0.25">
      <c r="A325" t="s">
        <v>596</v>
      </c>
      <c r="C325" t="s">
        <v>139</v>
      </c>
      <c r="D325" t="s">
        <v>23</v>
      </c>
      <c r="E325" t="s">
        <v>34</v>
      </c>
      <c r="F325" t="s">
        <v>26</v>
      </c>
      <c r="G325">
        <v>0</v>
      </c>
      <c r="H325">
        <v>0</v>
      </c>
      <c r="I325">
        <v>0</v>
      </c>
      <c r="J325">
        <v>0</v>
      </c>
      <c r="K325">
        <v>0</v>
      </c>
      <c r="L325">
        <v>0</v>
      </c>
      <c r="M325">
        <v>0</v>
      </c>
      <c r="N325">
        <v>0.86588774805920499</v>
      </c>
      <c r="O325">
        <v>0.99998402911185846</v>
      </c>
      <c r="P325">
        <v>0</v>
      </c>
      <c r="Q325">
        <v>0</v>
      </c>
      <c r="R325">
        <v>0</v>
      </c>
      <c r="S325">
        <v>0</v>
      </c>
    </row>
    <row r="326" spans="1:19" ht="15" x14ac:dyDescent="0.25">
      <c r="A326" t="s">
        <v>626</v>
      </c>
      <c r="C326" t="s">
        <v>139</v>
      </c>
      <c r="D326" t="s">
        <v>23</v>
      </c>
      <c r="E326" t="s">
        <v>34</v>
      </c>
      <c r="F326" t="s">
        <v>26</v>
      </c>
      <c r="G326">
        <v>0</v>
      </c>
      <c r="H326">
        <v>0</v>
      </c>
      <c r="I326">
        <v>0</v>
      </c>
      <c r="J326">
        <v>0</v>
      </c>
      <c r="K326">
        <v>0</v>
      </c>
      <c r="L326">
        <v>0</v>
      </c>
      <c r="M326">
        <v>0</v>
      </c>
      <c r="N326">
        <v>0.86588774805920499</v>
      </c>
      <c r="O326">
        <v>0.99998402911185846</v>
      </c>
      <c r="P326">
        <v>0</v>
      </c>
      <c r="Q326">
        <v>0</v>
      </c>
      <c r="R326">
        <v>0</v>
      </c>
      <c r="S326">
        <v>0</v>
      </c>
    </row>
    <row r="327" spans="1:19" ht="15" x14ac:dyDescent="0.25">
      <c r="A327" t="s">
        <v>600</v>
      </c>
      <c r="C327" t="s">
        <v>139</v>
      </c>
      <c r="D327" t="s">
        <v>23</v>
      </c>
      <c r="E327" t="s">
        <v>34</v>
      </c>
      <c r="F327" t="s">
        <v>26</v>
      </c>
      <c r="G327">
        <v>0</v>
      </c>
      <c r="H327">
        <v>0</v>
      </c>
      <c r="I327">
        <v>0</v>
      </c>
      <c r="J327">
        <v>0</v>
      </c>
      <c r="K327">
        <v>0</v>
      </c>
      <c r="L327">
        <v>0</v>
      </c>
      <c r="M327">
        <v>0</v>
      </c>
      <c r="N327">
        <v>0.86588774805920499</v>
      </c>
      <c r="O327">
        <v>0.99998402911185846</v>
      </c>
      <c r="P327">
        <v>0</v>
      </c>
      <c r="Q327">
        <v>0</v>
      </c>
      <c r="R327">
        <v>0</v>
      </c>
      <c r="S327">
        <v>0</v>
      </c>
    </row>
    <row r="328" spans="1:19" ht="15" x14ac:dyDescent="0.25">
      <c r="A328" t="s">
        <v>627</v>
      </c>
      <c r="C328" t="s">
        <v>139</v>
      </c>
      <c r="D328" t="s">
        <v>23</v>
      </c>
      <c r="E328" t="s">
        <v>34</v>
      </c>
      <c r="F328" t="s">
        <v>26</v>
      </c>
      <c r="G328">
        <v>0</v>
      </c>
      <c r="H328">
        <v>0</v>
      </c>
      <c r="I328">
        <v>0</v>
      </c>
      <c r="J328">
        <v>0</v>
      </c>
      <c r="K328">
        <v>0</v>
      </c>
      <c r="L328">
        <v>0</v>
      </c>
      <c r="M328">
        <v>0</v>
      </c>
      <c r="N328">
        <v>0.86588774805920499</v>
      </c>
      <c r="O328">
        <v>0.99998402911185846</v>
      </c>
      <c r="P328">
        <v>0</v>
      </c>
      <c r="Q328">
        <v>0</v>
      </c>
      <c r="R328">
        <v>0</v>
      </c>
      <c r="S328">
        <v>0</v>
      </c>
    </row>
    <row r="329" spans="1:19" ht="15" x14ac:dyDescent="0.25">
      <c r="A329" t="s">
        <v>586</v>
      </c>
      <c r="C329" t="s">
        <v>139</v>
      </c>
      <c r="D329" t="s">
        <v>23</v>
      </c>
      <c r="E329" t="s">
        <v>34</v>
      </c>
      <c r="F329" t="s">
        <v>26</v>
      </c>
      <c r="G329">
        <v>0</v>
      </c>
      <c r="H329">
        <v>0</v>
      </c>
      <c r="I329">
        <v>0</v>
      </c>
      <c r="J329">
        <v>0</v>
      </c>
      <c r="K329">
        <v>0</v>
      </c>
      <c r="L329">
        <v>0</v>
      </c>
      <c r="M329">
        <v>0</v>
      </c>
      <c r="N329">
        <v>0.86588774805920499</v>
      </c>
      <c r="O329">
        <v>0.99998402911185846</v>
      </c>
      <c r="P329">
        <v>0</v>
      </c>
      <c r="Q329">
        <v>0</v>
      </c>
      <c r="R329">
        <v>0</v>
      </c>
      <c r="S329">
        <v>0</v>
      </c>
    </row>
    <row r="330" spans="1:19" ht="15" x14ac:dyDescent="0.25">
      <c r="A330" t="s">
        <v>590</v>
      </c>
      <c r="C330" t="s">
        <v>139</v>
      </c>
      <c r="D330" t="s">
        <v>23</v>
      </c>
      <c r="E330" t="s">
        <v>34</v>
      </c>
      <c r="F330" t="s">
        <v>26</v>
      </c>
      <c r="G330">
        <v>0</v>
      </c>
      <c r="H330">
        <v>0</v>
      </c>
      <c r="I330">
        <v>0</v>
      </c>
      <c r="J330">
        <v>0</v>
      </c>
      <c r="K330">
        <v>0</v>
      </c>
      <c r="L330">
        <v>0</v>
      </c>
      <c r="M330">
        <v>0</v>
      </c>
      <c r="N330">
        <v>0.86588774805920499</v>
      </c>
      <c r="O330">
        <v>0.99998402911185846</v>
      </c>
      <c r="P330">
        <v>0</v>
      </c>
      <c r="Q330">
        <v>0</v>
      </c>
      <c r="R330">
        <v>0</v>
      </c>
      <c r="S330">
        <v>0</v>
      </c>
    </row>
    <row r="331" spans="1:19" ht="15" x14ac:dyDescent="0.25">
      <c r="A331" t="s">
        <v>591</v>
      </c>
      <c r="C331" t="s">
        <v>139</v>
      </c>
      <c r="D331" t="s">
        <v>23</v>
      </c>
      <c r="E331" t="s">
        <v>34</v>
      </c>
      <c r="F331" t="s">
        <v>26</v>
      </c>
      <c r="G331">
        <v>0</v>
      </c>
      <c r="H331">
        <v>0</v>
      </c>
      <c r="I331">
        <v>0</v>
      </c>
      <c r="J331">
        <v>0</v>
      </c>
      <c r="K331">
        <v>0</v>
      </c>
      <c r="L331">
        <v>0</v>
      </c>
      <c r="M331">
        <v>0</v>
      </c>
      <c r="N331">
        <v>0.91722726692541467</v>
      </c>
      <c r="O331">
        <v>0.99999783295098688</v>
      </c>
      <c r="P331">
        <v>0</v>
      </c>
      <c r="Q331">
        <v>0</v>
      </c>
      <c r="R331">
        <v>0</v>
      </c>
      <c r="S331">
        <v>0</v>
      </c>
    </row>
    <row r="332" spans="1:19" ht="15" x14ac:dyDescent="0.25">
      <c r="A332" t="s">
        <v>618</v>
      </c>
      <c r="C332" t="s">
        <v>139</v>
      </c>
      <c r="D332" t="s">
        <v>23</v>
      </c>
      <c r="E332" t="s">
        <v>34</v>
      </c>
      <c r="F332" t="s">
        <v>26</v>
      </c>
      <c r="G332">
        <v>0</v>
      </c>
      <c r="H332">
        <v>0</v>
      </c>
      <c r="I332">
        <v>0</v>
      </c>
      <c r="J332">
        <v>0</v>
      </c>
      <c r="K332">
        <v>0</v>
      </c>
      <c r="L332">
        <v>0</v>
      </c>
      <c r="M332">
        <v>0</v>
      </c>
      <c r="N332">
        <v>0.86588774805920499</v>
      </c>
      <c r="O332">
        <v>0.99998402911185846</v>
      </c>
      <c r="P332">
        <v>0</v>
      </c>
      <c r="Q332">
        <v>0</v>
      </c>
      <c r="R332">
        <v>0</v>
      </c>
      <c r="S332">
        <v>0</v>
      </c>
    </row>
    <row r="333" spans="1:19" ht="15" x14ac:dyDescent="0.25">
      <c r="A333" t="s">
        <v>681</v>
      </c>
      <c r="C333" t="s">
        <v>528</v>
      </c>
      <c r="D333" t="s">
        <v>23</v>
      </c>
      <c r="E333" t="s">
        <v>34</v>
      </c>
      <c r="F333" t="s">
        <v>26</v>
      </c>
      <c r="G333">
        <v>137.80000000000001</v>
      </c>
      <c r="H333">
        <v>0</v>
      </c>
      <c r="I333">
        <v>0</v>
      </c>
      <c r="J333">
        <v>0</v>
      </c>
      <c r="K333">
        <v>256.30799999999999</v>
      </c>
      <c r="L333">
        <v>1.0252319999999999</v>
      </c>
      <c r="M333">
        <v>0</v>
      </c>
      <c r="N333">
        <v>0</v>
      </c>
      <c r="O333">
        <v>0</v>
      </c>
      <c r="P333">
        <v>0</v>
      </c>
      <c r="Q333">
        <v>1005.94</v>
      </c>
      <c r="R333">
        <v>1005.94</v>
      </c>
      <c r="S333">
        <v>4489.8321207999998</v>
      </c>
    </row>
    <row r="334" spans="1:19" ht="15" x14ac:dyDescent="0.25">
      <c r="A334" t="s">
        <v>683</v>
      </c>
      <c r="C334" t="s">
        <v>528</v>
      </c>
      <c r="D334" t="s">
        <v>23</v>
      </c>
      <c r="E334" t="s">
        <v>34</v>
      </c>
      <c r="F334" t="s">
        <v>26</v>
      </c>
      <c r="G334">
        <v>45.9</v>
      </c>
      <c r="H334">
        <v>0</v>
      </c>
      <c r="I334">
        <v>0</v>
      </c>
      <c r="J334">
        <v>0</v>
      </c>
      <c r="K334">
        <v>85.373999999999995</v>
      </c>
      <c r="L334">
        <v>0.34149599999999997</v>
      </c>
      <c r="M334">
        <v>0</v>
      </c>
      <c r="N334">
        <v>0</v>
      </c>
      <c r="O334">
        <v>0</v>
      </c>
      <c r="P334">
        <v>0</v>
      </c>
      <c r="Q334">
        <v>335.07</v>
      </c>
      <c r="R334">
        <v>335.07</v>
      </c>
      <c r="S334">
        <v>1495.5246324</v>
      </c>
    </row>
    <row r="335" spans="1:19" ht="15" x14ac:dyDescent="0.25">
      <c r="A335" t="s">
        <v>1060</v>
      </c>
      <c r="C335" t="s">
        <v>528</v>
      </c>
      <c r="D335" t="s">
        <v>23</v>
      </c>
      <c r="E335" t="s">
        <v>34</v>
      </c>
      <c r="F335" t="s">
        <v>26</v>
      </c>
      <c r="G335">
        <v>212.16</v>
      </c>
      <c r="H335">
        <v>0.59</v>
      </c>
      <c r="I335">
        <v>0</v>
      </c>
      <c r="J335">
        <v>0</v>
      </c>
      <c r="K335">
        <v>394.61759999999998</v>
      </c>
      <c r="L335">
        <v>1.5784704000000001</v>
      </c>
      <c r="M335">
        <v>0</v>
      </c>
      <c r="N335">
        <v>0</v>
      </c>
      <c r="O335">
        <v>0</v>
      </c>
      <c r="P335">
        <v>0</v>
      </c>
      <c r="Q335">
        <v>2476.9265</v>
      </c>
      <c r="R335">
        <v>2476.9265</v>
      </c>
      <c r="S335">
        <v>7840.80568976</v>
      </c>
    </row>
    <row r="336" spans="1:19" ht="15" x14ac:dyDescent="0.25">
      <c r="A336" t="s">
        <v>685</v>
      </c>
      <c r="D336" t="s">
        <v>23</v>
      </c>
      <c r="E336" t="s">
        <v>34</v>
      </c>
      <c r="F336" t="s">
        <v>26</v>
      </c>
      <c r="G336">
        <v>0</v>
      </c>
      <c r="H336">
        <v>0</v>
      </c>
      <c r="I336">
        <v>0</v>
      </c>
      <c r="J336">
        <v>0</v>
      </c>
      <c r="K336">
        <v>0</v>
      </c>
      <c r="L336">
        <v>0</v>
      </c>
      <c r="M336">
        <v>0</v>
      </c>
      <c r="N336">
        <v>0</v>
      </c>
      <c r="O336">
        <v>0</v>
      </c>
      <c r="P336">
        <v>0</v>
      </c>
      <c r="Q336">
        <v>0</v>
      </c>
      <c r="R336">
        <v>0</v>
      </c>
      <c r="S336">
        <v>0</v>
      </c>
    </row>
    <row r="337" spans="1:19" ht="15" x14ac:dyDescent="0.25">
      <c r="A337" t="s">
        <v>686</v>
      </c>
      <c r="D337" t="s">
        <v>23</v>
      </c>
      <c r="E337" t="s">
        <v>34</v>
      </c>
      <c r="F337" t="s">
        <v>26</v>
      </c>
      <c r="G337">
        <v>0</v>
      </c>
      <c r="H337">
        <v>0</v>
      </c>
      <c r="I337">
        <v>0</v>
      </c>
      <c r="J337">
        <v>0</v>
      </c>
      <c r="K337">
        <v>0</v>
      </c>
      <c r="L337">
        <v>0</v>
      </c>
      <c r="M337">
        <v>0</v>
      </c>
      <c r="N337">
        <v>0</v>
      </c>
      <c r="O337">
        <v>0</v>
      </c>
      <c r="P337">
        <v>0</v>
      </c>
      <c r="Q337">
        <v>0</v>
      </c>
      <c r="R337">
        <v>0</v>
      </c>
      <c r="S337">
        <v>0</v>
      </c>
    </row>
    <row r="338" spans="1:19" ht="15" x14ac:dyDescent="0.25">
      <c r="A338" t="s">
        <v>1605</v>
      </c>
      <c r="B338" t="s">
        <v>1492</v>
      </c>
      <c r="C338" t="s">
        <v>22</v>
      </c>
      <c r="D338" t="s">
        <v>33</v>
      </c>
      <c r="E338" t="s">
        <v>34</v>
      </c>
      <c r="F338" t="s">
        <v>35</v>
      </c>
      <c r="G338">
        <v>582.74999999999966</v>
      </c>
      <c r="H338">
        <v>0.84050480769230718</v>
      </c>
      <c r="I338">
        <v>0</v>
      </c>
      <c r="J338">
        <v>1093.7769230769225</v>
      </c>
      <c r="K338">
        <v>192</v>
      </c>
      <c r="L338">
        <v>0.76800000000000002</v>
      </c>
      <c r="M338">
        <v>0</v>
      </c>
      <c r="N338">
        <v>0</v>
      </c>
      <c r="O338">
        <v>0</v>
      </c>
      <c r="P338">
        <v>0</v>
      </c>
      <c r="Q338">
        <v>6270.972862067304</v>
      </c>
      <c r="R338">
        <v>6270.972862067304</v>
      </c>
      <c r="S338">
        <v>8880.7520620673022</v>
      </c>
    </row>
    <row r="339" spans="1:19" ht="15" x14ac:dyDescent="0.25">
      <c r="A339" t="s">
        <v>1606</v>
      </c>
      <c r="B339" t="s">
        <v>1493</v>
      </c>
      <c r="C339" t="s">
        <v>22</v>
      </c>
      <c r="D339" t="s">
        <v>33</v>
      </c>
      <c r="E339" t="s">
        <v>34</v>
      </c>
      <c r="F339" t="s">
        <v>35</v>
      </c>
      <c r="G339">
        <v>144.10454927884606</v>
      </c>
      <c r="H339">
        <v>0.20697430889423063</v>
      </c>
      <c r="I339">
        <v>792.87620192307645</v>
      </c>
      <c r="J339">
        <v>1282.6103365384608</v>
      </c>
      <c r="K339">
        <v>51.435000000000002</v>
      </c>
      <c r="L339">
        <v>0.20574000000000001</v>
      </c>
      <c r="M339">
        <v>0</v>
      </c>
      <c r="N339">
        <v>0</v>
      </c>
      <c r="O339">
        <v>0</v>
      </c>
      <c r="P339">
        <v>0</v>
      </c>
      <c r="Q339">
        <v>3037.1981245177262</v>
      </c>
      <c r="R339">
        <v>3037.1981245177262</v>
      </c>
      <c r="S339">
        <v>3736.3335055177263</v>
      </c>
    </row>
    <row r="340" spans="1:19" ht="15" x14ac:dyDescent="0.25">
      <c r="A340" t="s">
        <v>699</v>
      </c>
      <c r="B340" t="s">
        <v>1494</v>
      </c>
      <c r="C340" t="s">
        <v>139</v>
      </c>
      <c r="D340" t="s">
        <v>23</v>
      </c>
      <c r="E340" t="s">
        <v>34</v>
      </c>
      <c r="F340" t="s">
        <v>35</v>
      </c>
      <c r="G340">
        <v>336.09999999999997</v>
      </c>
      <c r="H340">
        <v>1.1203333333333334</v>
      </c>
      <c r="I340">
        <v>0</v>
      </c>
      <c r="J340">
        <v>5377.5999999999995</v>
      </c>
      <c r="K340">
        <v>93</v>
      </c>
      <c r="L340">
        <v>0.372</v>
      </c>
      <c r="M340">
        <v>0</v>
      </c>
      <c r="N340">
        <v>0</v>
      </c>
      <c r="O340">
        <v>0</v>
      </c>
      <c r="P340">
        <v>0</v>
      </c>
      <c r="Q340">
        <v>7631.296143333333</v>
      </c>
      <c r="R340">
        <v>7631.296143333333</v>
      </c>
      <c r="S340">
        <v>8895.4079433333318</v>
      </c>
    </row>
    <row r="341" spans="1:19" ht="15" x14ac:dyDescent="0.25">
      <c r="A341" t="s">
        <v>1607</v>
      </c>
      <c r="B341" t="s">
        <v>1495</v>
      </c>
      <c r="C341" t="s">
        <v>46</v>
      </c>
      <c r="D341" t="s">
        <v>47</v>
      </c>
      <c r="E341" t="s">
        <v>34</v>
      </c>
      <c r="F341" t="s">
        <v>35</v>
      </c>
      <c r="G341">
        <v>0</v>
      </c>
      <c r="H341">
        <v>0</v>
      </c>
      <c r="I341">
        <v>0</v>
      </c>
      <c r="J341">
        <v>0</v>
      </c>
      <c r="K341">
        <v>0</v>
      </c>
      <c r="L341">
        <v>0</v>
      </c>
      <c r="M341">
        <v>0</v>
      </c>
      <c r="N341">
        <v>0</v>
      </c>
      <c r="O341">
        <v>0</v>
      </c>
      <c r="P341">
        <v>0</v>
      </c>
      <c r="Q341">
        <v>0</v>
      </c>
      <c r="R341">
        <v>0</v>
      </c>
      <c r="S341">
        <v>0</v>
      </c>
    </row>
    <row r="342" spans="1:19" ht="15" x14ac:dyDescent="0.25">
      <c r="A342" t="s">
        <v>1608</v>
      </c>
      <c r="B342" t="s">
        <v>1496</v>
      </c>
      <c r="C342" t="s">
        <v>46</v>
      </c>
      <c r="D342" t="s">
        <v>165</v>
      </c>
      <c r="E342" t="s">
        <v>34</v>
      </c>
      <c r="F342" t="s">
        <v>35</v>
      </c>
      <c r="G342">
        <v>0</v>
      </c>
      <c r="H342">
        <v>0</v>
      </c>
      <c r="I342">
        <v>0</v>
      </c>
      <c r="J342">
        <v>0</v>
      </c>
      <c r="K342">
        <v>0</v>
      </c>
      <c r="L342">
        <v>0</v>
      </c>
      <c r="M342">
        <v>0</v>
      </c>
      <c r="N342">
        <v>0</v>
      </c>
      <c r="O342">
        <v>0</v>
      </c>
      <c r="P342">
        <v>0</v>
      </c>
      <c r="Q342">
        <v>0</v>
      </c>
      <c r="R342">
        <v>0</v>
      </c>
      <c r="S342">
        <v>0</v>
      </c>
    </row>
    <row r="343" spans="1:19" ht="15" x14ac:dyDescent="0.25">
      <c r="A343" t="s">
        <v>1609</v>
      </c>
      <c r="B343" t="s">
        <v>1497</v>
      </c>
      <c r="C343" t="s">
        <v>46</v>
      </c>
      <c r="D343" t="s">
        <v>165</v>
      </c>
      <c r="E343" t="s">
        <v>24</v>
      </c>
      <c r="F343" t="s">
        <v>35</v>
      </c>
      <c r="G343">
        <v>0</v>
      </c>
      <c r="H343">
        <v>0</v>
      </c>
      <c r="I343">
        <v>0</v>
      </c>
      <c r="J343">
        <v>0</v>
      </c>
      <c r="K343">
        <v>0</v>
      </c>
      <c r="L343">
        <v>0</v>
      </c>
      <c r="M343">
        <v>0</v>
      </c>
      <c r="N343">
        <v>0</v>
      </c>
      <c r="O343">
        <v>0</v>
      </c>
      <c r="P343">
        <v>0</v>
      </c>
      <c r="Q343">
        <v>0</v>
      </c>
      <c r="R343">
        <v>0</v>
      </c>
      <c r="S343">
        <v>0</v>
      </c>
    </row>
    <row r="344" spans="1:19" ht="15" x14ac:dyDescent="0.25">
      <c r="A344" t="s">
        <v>1610</v>
      </c>
      <c r="B344" t="s">
        <v>1498</v>
      </c>
      <c r="C344" t="s">
        <v>139</v>
      </c>
      <c r="D344" t="s">
        <v>23</v>
      </c>
      <c r="E344" t="s">
        <v>34</v>
      </c>
      <c r="F344" t="s">
        <v>35</v>
      </c>
      <c r="G344">
        <v>0</v>
      </c>
      <c r="H344">
        <v>0</v>
      </c>
      <c r="I344">
        <v>0</v>
      </c>
      <c r="J344">
        <v>0</v>
      </c>
      <c r="K344">
        <v>0</v>
      </c>
      <c r="L344">
        <v>0</v>
      </c>
      <c r="M344">
        <v>0</v>
      </c>
      <c r="N344">
        <v>0</v>
      </c>
      <c r="O344">
        <v>0</v>
      </c>
      <c r="P344">
        <v>0</v>
      </c>
      <c r="Q344">
        <v>0</v>
      </c>
      <c r="R344">
        <v>0</v>
      </c>
      <c r="S344">
        <v>0</v>
      </c>
    </row>
    <row r="345" spans="1:19" ht="15" x14ac:dyDescent="0.25">
      <c r="A345" t="s">
        <v>1611</v>
      </c>
      <c r="B345" t="s">
        <v>1499</v>
      </c>
      <c r="C345" t="s">
        <v>22</v>
      </c>
      <c r="D345" t="s">
        <v>33</v>
      </c>
      <c r="E345" t="s">
        <v>34</v>
      </c>
      <c r="F345" t="s">
        <v>35</v>
      </c>
      <c r="G345">
        <v>0</v>
      </c>
      <c r="H345">
        <v>0.58723269230769204</v>
      </c>
      <c r="I345">
        <v>0</v>
      </c>
      <c r="J345">
        <v>0</v>
      </c>
      <c r="K345">
        <v>0</v>
      </c>
      <c r="L345">
        <v>0</v>
      </c>
      <c r="M345">
        <v>0</v>
      </c>
      <c r="N345">
        <v>0.42867388518401917</v>
      </c>
      <c r="O345">
        <v>0.98899715895726947</v>
      </c>
      <c r="P345">
        <v>0</v>
      </c>
      <c r="Q345">
        <v>923.80510990384573</v>
      </c>
      <c r="R345">
        <v>923.80510990384573</v>
      </c>
      <c r="S345">
        <v>923.80510990384573</v>
      </c>
    </row>
    <row r="346" spans="1:19" ht="15" x14ac:dyDescent="0.25">
      <c r="A346" t="s">
        <v>713</v>
      </c>
      <c r="C346" t="s">
        <v>70</v>
      </c>
      <c r="D346" t="s">
        <v>23</v>
      </c>
      <c r="E346" t="s">
        <v>34</v>
      </c>
      <c r="F346" t="s">
        <v>26</v>
      </c>
      <c r="G346">
        <v>0</v>
      </c>
      <c r="H346">
        <v>0</v>
      </c>
      <c r="I346">
        <v>0</v>
      </c>
      <c r="J346">
        <v>0</v>
      </c>
      <c r="K346">
        <v>0</v>
      </c>
      <c r="L346">
        <v>0</v>
      </c>
      <c r="M346">
        <v>0</v>
      </c>
      <c r="N346">
        <v>0</v>
      </c>
      <c r="O346">
        <v>0</v>
      </c>
      <c r="P346">
        <v>0</v>
      </c>
      <c r="Q346">
        <v>0</v>
      </c>
      <c r="R346">
        <v>0</v>
      </c>
      <c r="S346">
        <v>0</v>
      </c>
    </row>
    <row r="347" spans="1:19" ht="15" x14ac:dyDescent="0.25">
      <c r="A347" t="s">
        <v>1180</v>
      </c>
      <c r="C347" t="s">
        <v>70</v>
      </c>
      <c r="D347" t="s">
        <v>23</v>
      </c>
      <c r="E347" t="s">
        <v>24</v>
      </c>
      <c r="F347" t="s">
        <v>35</v>
      </c>
      <c r="G347">
        <v>1.5449999999999999</v>
      </c>
      <c r="H347">
        <v>2.8E-3</v>
      </c>
      <c r="I347">
        <v>1.48</v>
      </c>
      <c r="J347">
        <v>1.6576</v>
      </c>
      <c r="K347">
        <v>2.79</v>
      </c>
      <c r="L347">
        <v>1.116E-2</v>
      </c>
      <c r="M347">
        <v>0</v>
      </c>
      <c r="N347">
        <v>0</v>
      </c>
      <c r="O347">
        <v>0</v>
      </c>
      <c r="P347">
        <v>0</v>
      </c>
      <c r="Q347">
        <v>18.31344576</v>
      </c>
      <c r="R347">
        <v>18.31344576</v>
      </c>
      <c r="S347">
        <v>56.236799760000004</v>
      </c>
    </row>
    <row r="348" spans="1:19" ht="15" x14ac:dyDescent="0.25">
      <c r="A348" t="s">
        <v>1182</v>
      </c>
      <c r="C348" t="s">
        <v>70</v>
      </c>
      <c r="D348" t="s">
        <v>23</v>
      </c>
      <c r="E348" t="s">
        <v>24</v>
      </c>
      <c r="F348" t="s">
        <v>26</v>
      </c>
      <c r="G348">
        <v>7.0039999999999996</v>
      </c>
      <c r="H348">
        <v>4.0500000000000001E-2</v>
      </c>
      <c r="I348">
        <v>0</v>
      </c>
      <c r="J348">
        <v>0</v>
      </c>
      <c r="K348">
        <v>13.02744</v>
      </c>
      <c r="L348">
        <v>5.2109760000000005E-2</v>
      </c>
      <c r="M348">
        <v>0</v>
      </c>
      <c r="N348">
        <v>0</v>
      </c>
      <c r="O348">
        <v>0</v>
      </c>
      <c r="P348">
        <v>0</v>
      </c>
      <c r="Q348">
        <v>114.841775</v>
      </c>
      <c r="R348">
        <v>114.841775</v>
      </c>
      <c r="S348">
        <v>291.91855594399999</v>
      </c>
    </row>
    <row r="349" spans="1:19" ht="15" x14ac:dyDescent="0.25">
      <c r="A349" t="s">
        <v>1518</v>
      </c>
      <c r="B349" t="s">
        <v>1517</v>
      </c>
      <c r="C349" t="s">
        <v>22</v>
      </c>
      <c r="D349" t="s">
        <v>1517</v>
      </c>
      <c r="E349" t="s">
        <v>34</v>
      </c>
      <c r="F349" t="s">
        <v>35</v>
      </c>
      <c r="G349">
        <v>1124.1249999999998</v>
      </c>
      <c r="H349">
        <v>0.83</v>
      </c>
      <c r="I349">
        <v>2448</v>
      </c>
      <c r="J349">
        <v>2937.6</v>
      </c>
      <c r="K349">
        <v>2346</v>
      </c>
      <c r="L349">
        <v>9.3840000000000003</v>
      </c>
      <c r="M349">
        <v>6</v>
      </c>
      <c r="N349">
        <v>0</v>
      </c>
      <c r="O349">
        <v>0</v>
      </c>
      <c r="P349">
        <v>21.6</v>
      </c>
      <c r="Q349">
        <v>14030.375159999996</v>
      </c>
      <c r="R349">
        <v>14103.696359999996</v>
      </c>
      <c r="S349">
        <v>45991.935959999995</v>
      </c>
    </row>
    <row r="350" spans="1:19" ht="15" x14ac:dyDescent="0.25">
      <c r="A350" t="s">
        <v>1518</v>
      </c>
      <c r="B350" t="s">
        <v>1718</v>
      </c>
      <c r="C350" t="s">
        <v>46</v>
      </c>
      <c r="D350" t="s">
        <v>1160</v>
      </c>
      <c r="E350" t="s">
        <v>34</v>
      </c>
      <c r="F350" t="s">
        <v>35</v>
      </c>
      <c r="G350">
        <v>0</v>
      </c>
      <c r="H350">
        <v>0</v>
      </c>
      <c r="I350">
        <v>0</v>
      </c>
      <c r="J350">
        <v>0</v>
      </c>
      <c r="K350">
        <v>0</v>
      </c>
      <c r="L350">
        <v>0</v>
      </c>
      <c r="M350">
        <v>0</v>
      </c>
      <c r="N350">
        <v>0</v>
      </c>
      <c r="O350">
        <v>0</v>
      </c>
      <c r="P350">
        <v>21.6</v>
      </c>
      <c r="Q350">
        <v>0</v>
      </c>
      <c r="R350">
        <v>73.321200000000005</v>
      </c>
      <c r="S350">
        <v>73.321200000000005</v>
      </c>
    </row>
    <row r="351" spans="1:19" ht="15" x14ac:dyDescent="0.25">
      <c r="A351" t="s">
        <v>1519</v>
      </c>
      <c r="B351" t="s">
        <v>1520</v>
      </c>
      <c r="C351" t="s">
        <v>22</v>
      </c>
      <c r="D351" t="s">
        <v>1521</v>
      </c>
      <c r="E351" t="s">
        <v>34</v>
      </c>
      <c r="F351" t="s">
        <v>35</v>
      </c>
      <c r="G351">
        <v>73.813264658823556</v>
      </c>
      <c r="H351">
        <v>0.28762500000000013</v>
      </c>
      <c r="I351">
        <v>394.77941176470608</v>
      </c>
      <c r="J351">
        <v>481.6308823529414</v>
      </c>
      <c r="K351">
        <v>32.720351999999998</v>
      </c>
      <c r="L351">
        <v>0.130881408</v>
      </c>
      <c r="M351">
        <v>1.2751329882352949</v>
      </c>
      <c r="N351">
        <v>0</v>
      </c>
      <c r="O351">
        <v>0</v>
      </c>
      <c r="P351">
        <v>1.4076735999999999</v>
      </c>
      <c r="Q351">
        <v>1727.2622420147063</v>
      </c>
      <c r="R351">
        <v>1732.0405900499063</v>
      </c>
      <c r="S351">
        <v>2176.7952466451065</v>
      </c>
    </row>
    <row r="352" spans="1:19" ht="15" x14ac:dyDescent="0.25">
      <c r="A352" t="s">
        <v>1525</v>
      </c>
      <c r="B352" t="s">
        <v>1535</v>
      </c>
      <c r="C352" t="s">
        <v>22</v>
      </c>
      <c r="D352" t="s">
        <v>1521</v>
      </c>
      <c r="E352" t="s">
        <v>34</v>
      </c>
      <c r="F352" t="s">
        <v>35</v>
      </c>
      <c r="G352">
        <v>1051.1286079411771</v>
      </c>
      <c r="H352">
        <v>8.8599779411764743</v>
      </c>
      <c r="I352">
        <v>9828.1124117647105</v>
      </c>
      <c r="J352">
        <v>11793.734894117653</v>
      </c>
      <c r="K352">
        <v>486.2088</v>
      </c>
      <c r="L352">
        <v>1.9448352</v>
      </c>
      <c r="M352">
        <v>21.929401450443201</v>
      </c>
      <c r="N352">
        <v>0.69767632607103103</v>
      </c>
      <c r="O352">
        <v>0.99947436049753335</v>
      </c>
      <c r="P352">
        <v>24.2088</v>
      </c>
      <c r="Q352">
        <v>39736.401006433538</v>
      </c>
      <c r="R352">
        <v>39818.577778033541</v>
      </c>
      <c r="S352">
        <v>46427.419512913548</v>
      </c>
    </row>
    <row r="353" spans="1:19" ht="15" x14ac:dyDescent="0.25">
      <c r="A353" t="s">
        <v>1536</v>
      </c>
      <c r="B353" t="s">
        <v>1538</v>
      </c>
      <c r="C353" t="s">
        <v>22</v>
      </c>
      <c r="D353" t="s">
        <v>1521</v>
      </c>
      <c r="E353" t="s">
        <v>34</v>
      </c>
      <c r="F353" t="s">
        <v>35</v>
      </c>
      <c r="G353">
        <v>10802.112176470595</v>
      </c>
      <c r="H353">
        <v>113.27349264705889</v>
      </c>
      <c r="I353">
        <v>103705.73161764711</v>
      </c>
      <c r="J353">
        <v>124446.87794117653</v>
      </c>
      <c r="K353">
        <v>561</v>
      </c>
      <c r="L353">
        <v>2.2440000000000002</v>
      </c>
      <c r="M353">
        <v>231.39790491539094</v>
      </c>
      <c r="N353">
        <v>0.69767632607103103</v>
      </c>
      <c r="O353">
        <v>0.99947436049753335</v>
      </c>
      <c r="P353">
        <v>1440.6628676470593</v>
      </c>
      <c r="Q353">
        <v>448306.59949036792</v>
      </c>
      <c r="R353">
        <v>453196.92959459586</v>
      </c>
      <c r="S353">
        <v>460822.37819459586</v>
      </c>
    </row>
    <row r="354" spans="1:19" ht="15" x14ac:dyDescent="0.25">
      <c r="A354" t="s">
        <v>1695</v>
      </c>
      <c r="B354" t="s">
        <v>1537</v>
      </c>
      <c r="C354" t="s">
        <v>22</v>
      </c>
      <c r="D354" t="s">
        <v>1521</v>
      </c>
      <c r="E354" t="s">
        <v>34</v>
      </c>
      <c r="F354" t="s">
        <v>35</v>
      </c>
      <c r="G354">
        <v>90931.626347058875</v>
      </c>
      <c r="H354">
        <v>953.53045220588285</v>
      </c>
      <c r="I354">
        <v>872989.53051470639</v>
      </c>
      <c r="J354">
        <v>1047587.4366176476</v>
      </c>
      <c r="K354">
        <v>561</v>
      </c>
      <c r="L354">
        <v>2.2440000000000002</v>
      </c>
      <c r="M354">
        <v>1947.8956970185347</v>
      </c>
      <c r="N354">
        <v>0.69767632607103103</v>
      </c>
      <c r="O354">
        <v>0.99947436049753335</v>
      </c>
      <c r="P354">
        <v>12127.426139705889</v>
      </c>
      <c r="Q354">
        <v>3773821.9644278921</v>
      </c>
      <c r="R354">
        <v>3814988.5124591235</v>
      </c>
      <c r="S354">
        <v>3822613.9610591237</v>
      </c>
    </row>
    <row r="355" spans="1:19" ht="15" x14ac:dyDescent="0.25">
      <c r="A355" t="s">
        <v>1691</v>
      </c>
      <c r="B355" t="s">
        <v>1688</v>
      </c>
      <c r="C355" t="s">
        <v>22</v>
      </c>
      <c r="D355" t="s">
        <v>1521</v>
      </c>
      <c r="E355" t="s">
        <v>34</v>
      </c>
      <c r="F355" t="s">
        <v>35</v>
      </c>
      <c r="G355">
        <v>29664.261900000016</v>
      </c>
      <c r="H355">
        <v>311.06643750000018</v>
      </c>
      <c r="I355">
        <v>284791.8937500001</v>
      </c>
      <c r="J355">
        <v>341750.27250000014</v>
      </c>
      <c r="K355">
        <v>561</v>
      </c>
      <c r="L355">
        <v>2.2440000000000002</v>
      </c>
      <c r="M355">
        <v>635.45424657534272</v>
      </c>
      <c r="N355">
        <v>0.69767632607103103</v>
      </c>
      <c r="O355">
        <v>0.99947436049753335</v>
      </c>
      <c r="P355">
        <v>3956.2818750000019</v>
      </c>
      <c r="Q355">
        <v>1231118.8924466253</v>
      </c>
      <c r="R355">
        <v>1244548.4912713128</v>
      </c>
      <c r="S355">
        <v>1252173.9398713128</v>
      </c>
    </row>
    <row r="356" spans="1:19" ht="14.1" customHeight="1" x14ac:dyDescent="0.25">
      <c r="A356" t="s">
        <v>1694</v>
      </c>
      <c r="B356" t="s">
        <v>1696</v>
      </c>
      <c r="C356" t="s">
        <v>22</v>
      </c>
      <c r="D356" t="s">
        <v>1521</v>
      </c>
      <c r="E356" t="s">
        <v>34</v>
      </c>
      <c r="F356" t="s">
        <v>35</v>
      </c>
      <c r="G356">
        <v>28462.180698823548</v>
      </c>
      <c r="H356">
        <v>298.46113088235313</v>
      </c>
      <c r="I356">
        <v>273251.30720588251</v>
      </c>
      <c r="J356">
        <v>327901.56864705903</v>
      </c>
      <c r="K356">
        <v>561</v>
      </c>
      <c r="L356">
        <v>2.2440000000000002</v>
      </c>
      <c r="M356">
        <v>609.70381305398905</v>
      </c>
      <c r="N356">
        <v>0.69767632607103103</v>
      </c>
      <c r="O356">
        <v>0.99947436049753335</v>
      </c>
      <c r="P356">
        <v>3795.9619558823547</v>
      </c>
      <c r="Q356">
        <v>1181230.4144520566</v>
      </c>
      <c r="R356">
        <v>1194115.8073112993</v>
      </c>
      <c r="S356">
        <v>1201741.2559112993</v>
      </c>
    </row>
    <row r="357" spans="1:19" ht="14.1" customHeight="1" x14ac:dyDescent="0.25">
      <c r="A357" t="s">
        <v>1705</v>
      </c>
      <c r="B357" t="s">
        <v>1704</v>
      </c>
      <c r="C357" t="s">
        <v>22</v>
      </c>
      <c r="D357" t="s">
        <v>1521</v>
      </c>
      <c r="E357" t="s">
        <v>34</v>
      </c>
      <c r="F357" t="s">
        <v>35</v>
      </c>
      <c r="G357">
        <v>31575.404823529429</v>
      </c>
      <c r="H357">
        <v>331.10713235294133</v>
      </c>
      <c r="I357">
        <v>303139.83088235307</v>
      </c>
      <c r="J357">
        <v>363767.79705882369</v>
      </c>
      <c r="K357">
        <v>561</v>
      </c>
      <c r="L357">
        <v>2.2440000000000002</v>
      </c>
      <c r="M357">
        <v>676.39387590652746</v>
      </c>
      <c r="N357">
        <v>0.69767632607103103</v>
      </c>
      <c r="O357">
        <v>0.99947436049753335</v>
      </c>
      <c r="P357">
        <v>4211.1683823529429</v>
      </c>
      <c r="Q357">
        <v>1310434.6754333829</v>
      </c>
      <c r="R357">
        <v>1324729.48650728</v>
      </c>
      <c r="S357">
        <v>1332354.9351072798</v>
      </c>
    </row>
    <row r="358" spans="1:19" ht="14.1" customHeight="1" x14ac:dyDescent="0.25">
      <c r="A358" t="s">
        <v>1703</v>
      </c>
      <c r="B358" t="s">
        <v>1702</v>
      </c>
      <c r="C358" t="s">
        <v>22</v>
      </c>
      <c r="D358" t="s">
        <v>1521</v>
      </c>
      <c r="E358" t="s">
        <v>34</v>
      </c>
      <c r="F358" t="s">
        <v>35</v>
      </c>
      <c r="G358">
        <v>63738.001385882388</v>
      </c>
      <c r="H358">
        <v>668.37169558823564</v>
      </c>
      <c r="I358">
        <v>611916.99897058855</v>
      </c>
      <c r="J358">
        <v>734300.39876470622</v>
      </c>
      <c r="K358">
        <v>561</v>
      </c>
      <c r="L358">
        <v>2.2440000000000002</v>
      </c>
      <c r="M358">
        <v>1365.3663045930709</v>
      </c>
      <c r="N358">
        <v>0.69767632607103103</v>
      </c>
      <c r="O358">
        <v>0.99947436049753335</v>
      </c>
      <c r="P358">
        <v>8500.6497205882388</v>
      </c>
      <c r="Q358">
        <v>2645238.8378134216</v>
      </c>
      <c r="R358">
        <v>2674094.2932899585</v>
      </c>
      <c r="S358">
        <v>2681719.7418899583</v>
      </c>
    </row>
    <row r="359" spans="1:19" ht="14.1" customHeight="1" x14ac:dyDescent="0.25">
      <c r="A359" t="s">
        <v>1719</v>
      </c>
      <c r="B359" t="s">
        <v>1720</v>
      </c>
      <c r="C359" t="s">
        <v>22</v>
      </c>
      <c r="D359" t="s">
        <v>33</v>
      </c>
      <c r="E359" t="s">
        <v>34</v>
      </c>
      <c r="F359" t="s">
        <v>35</v>
      </c>
      <c r="G359">
        <v>319.39182692307674</v>
      </c>
      <c r="H359">
        <v>0.30818509615384598</v>
      </c>
      <c r="I359">
        <v>586.95252403846121</v>
      </c>
      <c r="J359">
        <v>1243.9471153846146</v>
      </c>
      <c r="K359">
        <v>142.5</v>
      </c>
      <c r="L359">
        <v>0.57000000000000006</v>
      </c>
      <c r="M359">
        <v>0</v>
      </c>
      <c r="N359">
        <v>0</v>
      </c>
      <c r="O359">
        <v>0</v>
      </c>
      <c r="P359">
        <v>0</v>
      </c>
      <c r="Q359">
        <v>4231.9865336538433</v>
      </c>
      <c r="R359">
        <v>4231.9865336538433</v>
      </c>
      <c r="S359">
        <v>6168.9320336538431</v>
      </c>
    </row>
    <row r="360" spans="1:19" ht="14.1" customHeight="1" x14ac:dyDescent="0.25">
      <c r="A360" t="s">
        <v>1723</v>
      </c>
      <c r="B360" t="s">
        <v>1721</v>
      </c>
      <c r="C360" t="s">
        <v>22</v>
      </c>
      <c r="D360" t="s">
        <v>1726</v>
      </c>
      <c r="E360" t="s">
        <v>34</v>
      </c>
      <c r="F360" t="s">
        <v>35</v>
      </c>
      <c r="G360">
        <v>15.625</v>
      </c>
      <c r="H360">
        <v>6.25E-2</v>
      </c>
      <c r="I360">
        <v>208</v>
      </c>
      <c r="J360">
        <v>253.76</v>
      </c>
      <c r="K360">
        <v>37.5</v>
      </c>
      <c r="L360">
        <v>0.15</v>
      </c>
      <c r="M360">
        <v>0</v>
      </c>
      <c r="N360">
        <v>0</v>
      </c>
      <c r="O360">
        <v>0</v>
      </c>
      <c r="P360">
        <v>0</v>
      </c>
      <c r="Q360">
        <v>595.23375099999998</v>
      </c>
      <c r="R360">
        <v>595.23375099999998</v>
      </c>
      <c r="S360">
        <v>1104.9562509999998</v>
      </c>
    </row>
    <row r="361" spans="1:19" ht="14.1" customHeight="1" x14ac:dyDescent="0.25">
      <c r="A361" t="s">
        <v>1724</v>
      </c>
      <c r="B361" t="s">
        <v>1722</v>
      </c>
      <c r="C361" t="s">
        <v>22</v>
      </c>
      <c r="D361" t="s">
        <v>1726</v>
      </c>
      <c r="E361" t="s">
        <v>34</v>
      </c>
      <c r="F361" t="s">
        <v>35</v>
      </c>
      <c r="G361">
        <v>16.875</v>
      </c>
      <c r="H361">
        <v>6.25E-2</v>
      </c>
      <c r="I361">
        <v>208</v>
      </c>
      <c r="J361">
        <v>343.2</v>
      </c>
      <c r="K361">
        <v>37.5</v>
      </c>
      <c r="L361">
        <v>0.15</v>
      </c>
      <c r="M361">
        <v>0</v>
      </c>
      <c r="N361">
        <v>0</v>
      </c>
      <c r="O361">
        <v>0</v>
      </c>
      <c r="P361">
        <v>0</v>
      </c>
      <c r="Q361">
        <v>661.16209500000002</v>
      </c>
      <c r="R361">
        <v>661.16209500000002</v>
      </c>
      <c r="S361">
        <v>1170.884595</v>
      </c>
    </row>
    <row r="362" spans="1:19" ht="14.1" customHeight="1" x14ac:dyDescent="0.25">
      <c r="A362" t="s">
        <v>2004</v>
      </c>
      <c r="B362" t="s">
        <v>1725</v>
      </c>
      <c r="C362" t="s">
        <v>22</v>
      </c>
      <c r="D362" t="s">
        <v>1726</v>
      </c>
      <c r="E362" t="s">
        <v>34</v>
      </c>
      <c r="F362" t="s">
        <v>35</v>
      </c>
      <c r="G362">
        <v>0</v>
      </c>
      <c r="H362">
        <v>0</v>
      </c>
      <c r="I362">
        <v>0</v>
      </c>
      <c r="J362">
        <v>0</v>
      </c>
      <c r="K362">
        <v>0</v>
      </c>
      <c r="L362">
        <v>0</v>
      </c>
      <c r="M362">
        <v>0</v>
      </c>
      <c r="N362">
        <v>0</v>
      </c>
      <c r="O362">
        <v>0</v>
      </c>
      <c r="P362">
        <v>0</v>
      </c>
      <c r="Q362">
        <v>0</v>
      </c>
      <c r="R362">
        <v>0</v>
      </c>
      <c r="S362">
        <v>0</v>
      </c>
    </row>
    <row r="363" spans="1:19" ht="14.1" customHeight="1" x14ac:dyDescent="0.25">
      <c r="A363" t="s">
        <v>2209</v>
      </c>
      <c r="B363" t="s">
        <v>2209</v>
      </c>
      <c r="F363" t="s">
        <v>35</v>
      </c>
      <c r="G363">
        <v>0</v>
      </c>
      <c r="H363">
        <v>0</v>
      </c>
      <c r="I363">
        <v>0</v>
      </c>
      <c r="J363">
        <v>0</v>
      </c>
      <c r="K363">
        <v>0</v>
      </c>
      <c r="L363">
        <v>0</v>
      </c>
      <c r="M363">
        <v>0</v>
      </c>
      <c r="N363">
        <v>0</v>
      </c>
      <c r="O363">
        <v>0</v>
      </c>
      <c r="P363">
        <v>0</v>
      </c>
      <c r="Q363">
        <v>0</v>
      </c>
      <c r="R363">
        <v>0</v>
      </c>
      <c r="S363">
        <v>0</v>
      </c>
    </row>
  </sheetData>
  <autoFilter ref="A1:S301" xr:uid="{00000000-0009-0000-0000-000002000000}"/>
  <dataValidations disablePrompts="1" count="4">
    <dataValidation type="list" allowBlank="1" showInputMessage="1" showErrorMessage="1" sqref="E2" xr:uid="{00000000-0002-0000-0200-000000000000}">
      <formula1>"regenerable, non regenerable"</formula1>
    </dataValidation>
    <dataValidation type="list" allowBlank="1" showInputMessage="1" showErrorMessage="1" sqref="D1:D2" xr:uid="{00000000-0002-0000-0200-000001000000}">
      <formula1>"Type,storage, O2 generation, N2 generation, urine processing, CO2 reduction, CO2 removal, control, monitor, distillation, filtration"</formula1>
    </dataValidation>
    <dataValidation type="list" allowBlank="1" showInputMessage="1" showErrorMessage="1" sqref="C1:C2" xr:uid="{00000000-0002-0000-0200-000002000000}">
      <formula1>"Subsystem,air-ACS,air-THC,air-AR,water-WRM,waste-WM,food-FM,crew-CS"</formula1>
    </dataValidation>
    <dataValidation type="list" allowBlank="1" showInputMessage="1" showErrorMessage="1" sqref="F1:F2" xr:uid="{00000000-0002-0000-0200-000003000000}">
      <formula1>level</formula1>
    </dataValidation>
  </dataValidation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5"/>
  <dimension ref="A1:AO20"/>
  <sheetViews>
    <sheetView zoomScale="80" zoomScaleNormal="80" workbookViewId="0">
      <pane xSplit="1" topLeftCell="B1" activePane="topRight" state="frozen"/>
      <selection pane="topRight" activeCell="A3" sqref="A3"/>
    </sheetView>
  </sheetViews>
  <sheetFormatPr defaultColWidth="0" defaultRowHeight="15" x14ac:dyDescent="0.25"/>
  <cols>
    <col min="1" max="1" width="73.5703125" customWidth="1"/>
    <col min="2" max="2" width="15.5703125" customWidth="1"/>
    <col min="3" max="3" width="11.5703125" bestFit="1" customWidth="1"/>
    <col min="4" max="4" width="12.5703125" customWidth="1"/>
    <col min="5" max="5" width="8.5703125" bestFit="1" customWidth="1"/>
    <col min="6" max="8" width="7.5703125" bestFit="1" customWidth="1"/>
    <col min="9" max="9" width="13" customWidth="1"/>
    <col min="10" max="10" width="9.140625" bestFit="1" customWidth="1"/>
    <col min="11" max="11" width="4" bestFit="1" customWidth="1"/>
    <col min="12" max="12" width="6.42578125" customWidth="1"/>
    <col min="13" max="15" width="7.5703125" customWidth="1"/>
    <col min="16" max="16" width="13" customWidth="1"/>
    <col min="17" max="17" width="9.85546875" customWidth="1"/>
    <col min="18" max="18" width="4" customWidth="1"/>
    <col min="19" max="20" width="10.42578125" bestFit="1" customWidth="1"/>
    <col min="21" max="21" width="10.42578125" customWidth="1"/>
    <col min="22" max="22" width="9.5703125" bestFit="1" customWidth="1"/>
    <col min="23" max="23" width="8.5703125" bestFit="1" customWidth="1"/>
    <col min="24" max="24" width="9.5703125" bestFit="1" customWidth="1"/>
    <col min="25" max="25" width="8.5703125" bestFit="1" customWidth="1"/>
    <col min="26" max="26" width="9.5703125" bestFit="1" customWidth="1"/>
    <col min="27" max="27" width="7.5703125" hidden="1" customWidth="1"/>
    <col min="28" max="28" width="9.5703125" hidden="1" customWidth="1"/>
    <col min="29" max="29" width="8.5703125" hidden="1" customWidth="1"/>
    <col min="30" max="30" width="9.5703125" hidden="1" customWidth="1"/>
    <col min="31" max="31" width="14.140625" hidden="1" customWidth="1"/>
    <col min="32" max="32" width="11.42578125" hidden="1" customWidth="1"/>
    <col min="33" max="33" width="6.42578125" hidden="1" customWidth="1"/>
    <col min="34" max="34" width="11.5703125" customWidth="1"/>
    <col min="35" max="41" width="0" hidden="1" customWidth="1"/>
    <col min="42" max="16384" width="11.5703125" hidden="1"/>
  </cols>
  <sheetData>
    <row r="1" spans="1:34" ht="15.75" x14ac:dyDescent="0.25">
      <c r="A1" s="71" t="s">
        <v>844</v>
      </c>
      <c r="B1" s="37"/>
      <c r="C1" s="37"/>
      <c r="D1" s="37"/>
      <c r="E1" s="37"/>
      <c r="F1" s="37"/>
      <c r="G1" s="37"/>
      <c r="H1" s="37"/>
      <c r="I1" s="37"/>
      <c r="J1" s="37"/>
      <c r="K1" s="37"/>
      <c r="L1" s="37"/>
      <c r="M1" s="37"/>
      <c r="N1" s="37"/>
      <c r="O1" s="37"/>
      <c r="P1" s="37"/>
      <c r="Q1" s="37"/>
      <c r="R1" s="37"/>
      <c r="S1" s="37"/>
      <c r="T1" s="37"/>
      <c r="U1" s="37"/>
      <c r="V1" s="37"/>
      <c r="W1" s="37"/>
      <c r="X1" s="37"/>
      <c r="Y1" s="37"/>
      <c r="Z1" s="37"/>
      <c r="AA1" s="37"/>
      <c r="AB1" s="59"/>
      <c r="AC1" s="59"/>
      <c r="AD1" s="37"/>
      <c r="AE1" s="37"/>
      <c r="AF1" s="37"/>
      <c r="AG1" s="37"/>
      <c r="AH1" s="37"/>
    </row>
    <row r="2" spans="1:34" x14ac:dyDescent="0.25">
      <c r="A2" s="72" t="s">
        <v>1082</v>
      </c>
      <c r="B2" s="37"/>
      <c r="C2" s="37"/>
      <c r="D2" s="37"/>
      <c r="E2" s="37"/>
      <c r="F2" s="37"/>
      <c r="G2" s="37"/>
      <c r="H2" s="37"/>
      <c r="I2" s="37"/>
      <c r="J2" s="37"/>
      <c r="K2" s="37"/>
      <c r="L2" s="37"/>
      <c r="M2" s="37"/>
      <c r="N2" s="37"/>
      <c r="O2" s="37"/>
      <c r="P2" s="37"/>
      <c r="Q2" s="37"/>
      <c r="R2" s="37"/>
      <c r="S2" s="37"/>
      <c r="T2" s="37"/>
      <c r="U2" s="37"/>
      <c r="V2" s="37"/>
      <c r="W2" s="37"/>
      <c r="X2" s="37"/>
      <c r="Y2" s="37"/>
      <c r="Z2" s="37"/>
      <c r="AA2" s="37"/>
      <c r="AB2" s="59"/>
      <c r="AC2" s="59"/>
      <c r="AD2" s="37"/>
      <c r="AE2" s="37"/>
      <c r="AF2" s="37"/>
      <c r="AG2" s="37"/>
      <c r="AH2" s="37"/>
    </row>
    <row r="3" spans="1:34" ht="97.35" customHeight="1" thickBot="1" x14ac:dyDescent="0.3">
      <c r="A3" s="73" t="s">
        <v>2208</v>
      </c>
      <c r="B3" s="37"/>
      <c r="C3" s="37"/>
      <c r="D3" s="37"/>
      <c r="E3" s="37"/>
      <c r="F3" s="37"/>
      <c r="G3" s="37"/>
      <c r="H3" s="37"/>
      <c r="I3" s="37"/>
      <c r="J3" s="37"/>
      <c r="K3" s="37"/>
      <c r="L3" s="37"/>
      <c r="M3" s="37"/>
      <c r="N3" s="37"/>
      <c r="O3" s="37"/>
      <c r="P3" s="37"/>
      <c r="Q3" s="37"/>
      <c r="R3" s="37"/>
      <c r="S3" s="37"/>
      <c r="T3" s="37"/>
      <c r="U3" s="37"/>
      <c r="V3" s="37"/>
      <c r="W3" s="37"/>
      <c r="X3" s="37"/>
      <c r="Y3" s="37"/>
      <c r="Z3" s="37"/>
      <c r="AA3" s="37"/>
      <c r="AB3" s="59"/>
      <c r="AC3" s="59"/>
      <c r="AD3" s="37"/>
      <c r="AE3" s="37"/>
      <c r="AF3" s="37"/>
      <c r="AG3" s="37"/>
      <c r="AH3" s="37"/>
    </row>
    <row r="4" spans="1:34" ht="43.35" customHeight="1" thickBot="1" x14ac:dyDescent="0.3">
      <c r="A4" s="92" t="s">
        <v>843</v>
      </c>
      <c r="B4" s="301" t="s">
        <v>845</v>
      </c>
      <c r="C4" s="301" t="s">
        <v>964</v>
      </c>
      <c r="D4" s="301" t="s">
        <v>965</v>
      </c>
      <c r="E4" s="302" t="s">
        <v>1254</v>
      </c>
      <c r="F4" s="302" t="s">
        <v>1255</v>
      </c>
      <c r="G4" s="302" t="s">
        <v>1256</v>
      </c>
      <c r="H4" s="302" t="s">
        <v>1257</v>
      </c>
      <c r="I4" s="302" t="s">
        <v>1258</v>
      </c>
      <c r="J4" s="301" t="s">
        <v>846</v>
      </c>
      <c r="K4" s="301" t="s">
        <v>1</v>
      </c>
      <c r="L4" s="302" t="s">
        <v>847</v>
      </c>
      <c r="M4" s="302" t="s">
        <v>848</v>
      </c>
      <c r="N4" s="302" t="s">
        <v>849</v>
      </c>
      <c r="O4" s="302" t="s">
        <v>850</v>
      </c>
      <c r="P4" s="302" t="s">
        <v>851</v>
      </c>
      <c r="Q4" s="302" t="s">
        <v>852</v>
      </c>
      <c r="R4" s="302" t="s">
        <v>853</v>
      </c>
      <c r="S4" s="301" t="s">
        <v>854</v>
      </c>
      <c r="T4" s="303" t="s">
        <v>1174</v>
      </c>
      <c r="U4" s="302" t="s">
        <v>1397</v>
      </c>
      <c r="V4" s="302" t="s">
        <v>1459</v>
      </c>
      <c r="W4" s="302" t="s">
        <v>2</v>
      </c>
      <c r="X4" s="301" t="s">
        <v>1175</v>
      </c>
      <c r="Y4" s="68"/>
      <c r="Z4" s="68"/>
      <c r="AA4" s="47" t="s">
        <v>847</v>
      </c>
      <c r="AB4" s="46" t="s">
        <v>848</v>
      </c>
      <c r="AC4" s="48" t="s">
        <v>849</v>
      </c>
      <c r="AD4" s="46" t="s">
        <v>850</v>
      </c>
      <c r="AE4" s="47" t="s">
        <v>851</v>
      </c>
      <c r="AF4" s="58" t="s">
        <v>852</v>
      </c>
      <c r="AG4" s="47" t="s">
        <v>853</v>
      </c>
    </row>
    <row r="5" spans="1:34" ht="28.7" customHeight="1" x14ac:dyDescent="0.25">
      <c r="A5" s="298"/>
      <c r="B5" s="299"/>
      <c r="C5" s="299"/>
      <c r="D5" s="299"/>
      <c r="E5" s="300" t="s">
        <v>787</v>
      </c>
      <c r="F5" s="300" t="s">
        <v>1396</v>
      </c>
      <c r="G5" s="300" t="s">
        <v>789</v>
      </c>
      <c r="H5" s="300" t="s">
        <v>789</v>
      </c>
      <c r="I5" s="300" t="s">
        <v>790</v>
      </c>
      <c r="J5" s="299" t="s">
        <v>1398</v>
      </c>
      <c r="K5" s="299" t="s">
        <v>1398</v>
      </c>
      <c r="L5" s="299" t="s">
        <v>1398</v>
      </c>
      <c r="M5" s="299" t="s">
        <v>1398</v>
      </c>
      <c r="N5" s="299" t="s">
        <v>1398</v>
      </c>
      <c r="O5" s="299" t="s">
        <v>1398</v>
      </c>
      <c r="P5" s="299" t="s">
        <v>1398</v>
      </c>
      <c r="Q5" s="299" t="s">
        <v>1398</v>
      </c>
      <c r="R5" s="299" t="s">
        <v>1398</v>
      </c>
      <c r="S5" s="299" t="s">
        <v>1398</v>
      </c>
      <c r="T5" s="299" t="s">
        <v>1398</v>
      </c>
      <c r="U5" s="300" t="s">
        <v>787</v>
      </c>
      <c r="V5" s="299" t="s">
        <v>1398</v>
      </c>
      <c r="W5" s="300" t="s">
        <v>787</v>
      </c>
      <c r="X5" s="299" t="s">
        <v>1398</v>
      </c>
      <c r="Y5" s="68"/>
      <c r="Z5" s="68"/>
      <c r="AA5" s="297"/>
      <c r="AB5" s="297"/>
      <c r="AC5" s="297"/>
      <c r="AD5" s="297"/>
      <c r="AE5" s="297"/>
      <c r="AF5" s="297"/>
      <c r="AG5" s="297"/>
    </row>
    <row r="6" spans="1:34" ht="28.7" customHeight="1" x14ac:dyDescent="0.25">
      <c r="A6" s="863" t="s">
        <v>1591</v>
      </c>
      <c r="B6" s="863" t="s">
        <v>22</v>
      </c>
      <c r="C6" s="863" t="s">
        <v>116</v>
      </c>
      <c r="D6" s="863" t="s">
        <v>34</v>
      </c>
      <c r="E6" s="863">
        <v>439.6849254512075</v>
      </c>
      <c r="F6" s="863">
        <v>0.89705417295867673</v>
      </c>
      <c r="G6" s="863">
        <v>94.136538461538407</v>
      </c>
      <c r="H6" s="863">
        <v>337.13581730769209</v>
      </c>
      <c r="I6" s="863">
        <v>2.7</v>
      </c>
      <c r="J6" s="863">
        <v>0</v>
      </c>
      <c r="K6" s="863">
        <v>9</v>
      </c>
      <c r="L6" s="863">
        <v>0.75</v>
      </c>
      <c r="M6" s="863">
        <v>0.75</v>
      </c>
      <c r="N6" s="863">
        <v>0.75</v>
      </c>
      <c r="O6" s="863">
        <v>0.5</v>
      </c>
      <c r="P6" s="863">
        <v>0.25</v>
      </c>
      <c r="Q6" s="863"/>
      <c r="R6" s="863">
        <v>1</v>
      </c>
      <c r="S6">
        <v>0.39285714285714279</v>
      </c>
      <c r="T6">
        <v>2</v>
      </c>
      <c r="U6">
        <v>4149.6701824038446</v>
      </c>
      <c r="V6">
        <v>1</v>
      </c>
      <c r="W6">
        <v>5049.1713476472187</v>
      </c>
      <c r="X6">
        <v>1</v>
      </c>
    </row>
    <row r="7" spans="1:34" ht="28.7" customHeight="1" x14ac:dyDescent="0.25">
      <c r="A7" s="863" t="s">
        <v>421</v>
      </c>
      <c r="B7" s="863" t="s">
        <v>22</v>
      </c>
      <c r="C7" s="863" t="s">
        <v>116</v>
      </c>
      <c r="D7" s="863" t="s">
        <v>24</v>
      </c>
      <c r="E7" s="863">
        <v>28113.580235294132</v>
      </c>
      <c r="F7" s="863">
        <v>36.780296235294138</v>
      </c>
      <c r="G7" s="863">
        <v>2.3686764705882366</v>
      </c>
      <c r="H7" s="863">
        <v>0</v>
      </c>
      <c r="I7" s="863">
        <v>3243.2857142857142</v>
      </c>
      <c r="J7" s="863">
        <v>0.99999999999982103</v>
      </c>
      <c r="K7" s="863">
        <v>9</v>
      </c>
      <c r="L7" s="863">
        <v>0.75</v>
      </c>
      <c r="M7" s="863">
        <v>0.75</v>
      </c>
      <c r="N7" s="863">
        <v>0.5</v>
      </c>
      <c r="O7" s="863">
        <v>0.5</v>
      </c>
      <c r="P7" s="863">
        <v>0.25</v>
      </c>
      <c r="Q7" s="863">
        <v>0.75</v>
      </c>
      <c r="R7" s="863">
        <v>1</v>
      </c>
      <c r="S7">
        <v>0.39285714285714285</v>
      </c>
      <c r="T7">
        <v>1</v>
      </c>
      <c r="U7">
        <v>262676.28197142656</v>
      </c>
      <c r="V7">
        <v>2</v>
      </c>
      <c r="W7">
        <v>274100.89644376945</v>
      </c>
      <c r="X7">
        <v>2</v>
      </c>
    </row>
    <row r="8" spans="1:34" ht="28.7" customHeight="1" x14ac:dyDescent="0.25">
      <c r="A8" s="863"/>
      <c r="B8" s="863"/>
      <c r="C8" s="863"/>
      <c r="D8" s="863"/>
      <c r="E8" s="863"/>
      <c r="F8" s="863"/>
      <c r="G8" s="863"/>
      <c r="H8" s="863"/>
      <c r="I8" s="863"/>
      <c r="J8" s="863"/>
      <c r="K8" s="863"/>
      <c r="L8" s="863"/>
      <c r="M8" s="863"/>
      <c r="N8" s="863"/>
      <c r="O8" s="863"/>
      <c r="P8" s="863"/>
      <c r="Q8" s="863"/>
      <c r="R8" s="863"/>
    </row>
    <row r="9" spans="1:34" ht="28.7" customHeight="1" x14ac:dyDescent="0.25">
      <c r="A9" s="863"/>
      <c r="B9" s="863"/>
      <c r="C9" s="863"/>
      <c r="D9" s="863"/>
      <c r="E9" s="863"/>
      <c r="F9" s="863"/>
      <c r="G9" s="863"/>
      <c r="H9" s="863"/>
      <c r="I9" s="863"/>
      <c r="J9" s="863"/>
      <c r="K9" s="863"/>
      <c r="L9" s="863"/>
      <c r="M9" s="863"/>
      <c r="N9" s="863"/>
      <c r="O9" s="863"/>
      <c r="P9" s="863"/>
      <c r="Q9" s="863"/>
      <c r="R9" s="863"/>
    </row>
    <row r="10" spans="1:34" ht="28.7" customHeight="1" x14ac:dyDescent="0.25">
      <c r="A10" s="863"/>
      <c r="B10" s="863"/>
      <c r="C10" s="863"/>
      <c r="D10" s="863"/>
      <c r="E10" s="863"/>
      <c r="F10" s="863"/>
      <c r="G10" s="863"/>
      <c r="H10" s="863"/>
      <c r="I10" s="863"/>
      <c r="J10" s="863"/>
      <c r="K10" s="863"/>
      <c r="L10" s="863"/>
      <c r="M10" s="863"/>
      <c r="N10" s="863"/>
      <c r="O10" s="863"/>
      <c r="P10" s="863"/>
      <c r="Q10" s="863"/>
      <c r="R10" s="863"/>
    </row>
    <row r="11" spans="1:34" ht="28.7" customHeight="1" x14ac:dyDescent="0.25">
      <c r="A11" s="863"/>
      <c r="B11" s="863"/>
      <c r="C11" s="863"/>
      <c r="D11" s="863"/>
      <c r="E11" s="863"/>
      <c r="F11" s="863"/>
      <c r="G11" s="863"/>
      <c r="H11" s="863"/>
      <c r="I11" s="863"/>
      <c r="J11" s="863"/>
      <c r="K11" s="863"/>
      <c r="L11" s="863"/>
      <c r="M11" s="863"/>
      <c r="N11" s="863"/>
      <c r="O11" s="863"/>
      <c r="P11" s="863"/>
      <c r="Q11" s="863"/>
      <c r="R11" s="863"/>
    </row>
    <row r="12" spans="1:34" ht="28.7" customHeight="1" x14ac:dyDescent="0.25">
      <c r="A12" s="863"/>
      <c r="B12" s="863"/>
      <c r="C12" s="863"/>
      <c r="D12" s="863"/>
      <c r="E12" s="863"/>
      <c r="F12" s="863"/>
      <c r="G12" s="863"/>
      <c r="H12" s="863"/>
      <c r="I12" s="863"/>
      <c r="J12" s="863"/>
      <c r="K12" s="863"/>
      <c r="L12" s="863"/>
      <c r="M12" s="863"/>
      <c r="N12" s="863"/>
      <c r="O12" s="863"/>
      <c r="P12" s="863"/>
      <c r="Q12" s="863"/>
      <c r="R12" s="863"/>
    </row>
    <row r="13" spans="1:34" ht="28.7" customHeight="1" x14ac:dyDescent="0.25">
      <c r="A13" s="863"/>
      <c r="B13" s="863"/>
      <c r="C13" s="863"/>
      <c r="D13" s="863"/>
      <c r="E13" s="863"/>
      <c r="F13" s="863"/>
      <c r="G13" s="863"/>
      <c r="H13" s="863"/>
      <c r="I13" s="863"/>
      <c r="J13" s="863"/>
      <c r="K13" s="863"/>
      <c r="L13" s="863"/>
      <c r="M13" s="863"/>
      <c r="N13" s="863"/>
      <c r="O13" s="863"/>
      <c r="P13" s="863"/>
      <c r="Q13" s="863"/>
      <c r="R13" s="863"/>
    </row>
    <row r="14" spans="1:34" ht="28.7" customHeight="1" x14ac:dyDescent="0.25">
      <c r="A14" s="863"/>
      <c r="B14" s="863"/>
      <c r="C14" s="863"/>
      <c r="D14" s="863"/>
      <c r="E14" s="863"/>
      <c r="F14" s="863"/>
      <c r="G14" s="863"/>
      <c r="H14" s="863"/>
      <c r="I14" s="863"/>
      <c r="J14" s="863"/>
      <c r="K14" s="863"/>
      <c r="L14" s="863"/>
      <c r="M14" s="863"/>
      <c r="N14" s="863"/>
      <c r="O14" s="863"/>
      <c r="P14" s="863"/>
      <c r="Q14" s="863"/>
      <c r="R14" s="863"/>
    </row>
    <row r="15" spans="1:34" ht="28.7" customHeight="1" x14ac:dyDescent="0.25">
      <c r="A15" s="863"/>
      <c r="B15" s="864"/>
      <c r="C15" s="864"/>
      <c r="D15" s="864"/>
      <c r="E15" s="864"/>
      <c r="F15" s="864"/>
      <c r="G15" s="864"/>
      <c r="H15" s="864"/>
      <c r="I15" s="864"/>
      <c r="J15" s="863"/>
      <c r="K15" s="863"/>
      <c r="L15" s="863"/>
      <c r="M15" s="863"/>
      <c r="N15" s="863"/>
      <c r="O15" s="863"/>
      <c r="P15" s="863"/>
      <c r="Q15" s="863"/>
      <c r="R15" s="863"/>
    </row>
    <row r="16" spans="1:34" ht="28.7" customHeight="1" x14ac:dyDescent="0.25">
      <c r="A16" s="863"/>
      <c r="B16" s="864"/>
      <c r="C16" s="864"/>
      <c r="D16" s="864"/>
      <c r="E16" s="864"/>
      <c r="F16" s="864"/>
      <c r="G16" s="864"/>
      <c r="H16" s="864"/>
      <c r="I16" s="864"/>
      <c r="J16" s="863"/>
      <c r="K16" s="863"/>
      <c r="L16" s="863"/>
      <c r="M16" s="863"/>
      <c r="N16" s="863"/>
      <c r="O16" s="863"/>
      <c r="P16" s="863"/>
      <c r="Q16" s="863"/>
      <c r="R16" s="863"/>
    </row>
    <row r="17" spans="1:18" ht="28.7" customHeight="1" x14ac:dyDescent="0.25">
      <c r="A17" s="863"/>
      <c r="B17" s="863"/>
      <c r="C17" s="863"/>
      <c r="D17" s="863"/>
      <c r="E17" s="863"/>
      <c r="F17" s="863"/>
      <c r="G17" s="863"/>
      <c r="H17" s="863"/>
      <c r="I17" s="863"/>
      <c r="J17" s="863"/>
      <c r="K17" s="863"/>
      <c r="L17" s="863"/>
      <c r="M17" s="863"/>
      <c r="N17" s="863"/>
      <c r="O17" s="863"/>
      <c r="P17" s="863"/>
      <c r="Q17" s="863"/>
      <c r="R17" s="863"/>
    </row>
    <row r="18" spans="1:18" ht="28.7" customHeight="1" x14ac:dyDescent="0.25">
      <c r="A18" s="863"/>
      <c r="B18" s="863"/>
      <c r="C18" s="863"/>
      <c r="D18" s="863"/>
      <c r="E18" s="863"/>
      <c r="F18" s="863"/>
      <c r="G18" s="863"/>
      <c r="H18" s="863"/>
      <c r="I18" s="863"/>
      <c r="J18" s="863"/>
      <c r="K18" s="863"/>
      <c r="L18" s="863"/>
      <c r="M18" s="863"/>
      <c r="N18" s="863"/>
      <c r="O18" s="863"/>
      <c r="P18" s="863"/>
      <c r="Q18" s="863"/>
      <c r="R18" s="863"/>
    </row>
    <row r="19" spans="1:18" ht="28.7" customHeight="1" x14ac:dyDescent="0.25">
      <c r="A19" s="863"/>
      <c r="B19" s="864"/>
      <c r="C19" s="864"/>
      <c r="D19" s="864"/>
      <c r="E19" s="864"/>
      <c r="F19" s="864"/>
      <c r="G19" s="864"/>
      <c r="H19" s="864"/>
      <c r="I19" s="864"/>
      <c r="J19" s="863"/>
      <c r="K19" s="863"/>
      <c r="L19" s="863"/>
      <c r="M19" s="863"/>
      <c r="N19" s="863"/>
      <c r="O19" s="863"/>
      <c r="P19" s="863"/>
      <c r="Q19" s="863"/>
      <c r="R19" s="863"/>
    </row>
    <row r="20" spans="1:18" ht="28.7" customHeight="1" x14ac:dyDescent="0.25">
      <c r="A20" s="863"/>
      <c r="B20" s="863"/>
      <c r="C20" s="863"/>
      <c r="D20" s="863"/>
      <c r="E20" s="863"/>
      <c r="F20" s="863"/>
      <c r="G20" s="863"/>
      <c r="H20" s="863"/>
      <c r="I20" s="863"/>
      <c r="J20" s="863"/>
      <c r="K20" s="863"/>
      <c r="L20" s="863"/>
      <c r="M20" s="863"/>
      <c r="N20" s="863"/>
      <c r="O20" s="863"/>
      <c r="P20" s="863"/>
      <c r="Q20" s="863"/>
      <c r="R20" s="863"/>
    </row>
  </sheetData>
  <sheetProtection sheet="1" objects="1" scenarios="1"/>
  <autoFilter ref="A4" xr:uid="{00000000-0009-0000-0000-000004000000}"/>
  <sortState xmlns:xlrd2="http://schemas.microsoft.com/office/spreadsheetml/2017/richdata2" ref="A6:Z20">
    <sortCondition ref="X1"/>
  </sortSt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Tabelle5.sortByMCA">
                <anchor moveWithCells="1" sizeWithCells="1">
                  <from>
                    <xdr:col>0</xdr:col>
                    <xdr:colOff>3057525</xdr:colOff>
                    <xdr:row>2</xdr:row>
                    <xdr:rowOff>409575</xdr:rowOff>
                  </from>
                  <to>
                    <xdr:col>0</xdr:col>
                    <xdr:colOff>5124450</xdr:colOff>
                    <xdr:row>2</xdr:row>
                    <xdr:rowOff>600075</xdr:rowOff>
                  </to>
                </anchor>
              </controlPr>
            </control>
          </mc:Choice>
        </mc:AlternateContent>
        <mc:AlternateContent xmlns:mc="http://schemas.openxmlformats.org/markup-compatibility/2006">
          <mc:Choice Requires="x14">
            <control shapeId="4098" r:id="rId5" name="Button 2">
              <controlPr defaultSize="0" print="0" autoFill="0" autoPict="0" macro="[0]!performsensitivityanalysis_up">
                <anchor moveWithCells="1" sizeWithCells="1">
                  <from>
                    <xdr:col>0</xdr:col>
                    <xdr:colOff>3057525</xdr:colOff>
                    <xdr:row>1</xdr:row>
                    <xdr:rowOff>85725</xdr:rowOff>
                  </from>
                  <to>
                    <xdr:col>0</xdr:col>
                    <xdr:colOff>5124450</xdr:colOff>
                    <xdr:row>2</xdr:row>
                    <xdr:rowOff>104775</xdr:rowOff>
                  </to>
                </anchor>
              </controlPr>
            </control>
          </mc:Choice>
        </mc:AlternateContent>
        <mc:AlternateContent xmlns:mc="http://schemas.openxmlformats.org/markup-compatibility/2006">
          <mc:Choice Requires="x14">
            <control shapeId="4100" r:id="rId6" name="Button 4">
              <controlPr defaultSize="0" print="0" autoFill="0" autoPict="0" macro="[0]!Tabelle1.PerformMCA">
                <anchor moveWithCells="1">
                  <from>
                    <xdr:col>0</xdr:col>
                    <xdr:colOff>3057525</xdr:colOff>
                    <xdr:row>0</xdr:row>
                    <xdr:rowOff>38100</xdr:rowOff>
                  </from>
                  <to>
                    <xdr:col>0</xdr:col>
                    <xdr:colOff>5124450</xdr:colOff>
                    <xdr:row>1</xdr:row>
                    <xdr:rowOff>38100</xdr:rowOff>
                  </to>
                </anchor>
              </controlPr>
            </control>
          </mc:Choice>
        </mc:AlternateContent>
        <mc:AlternateContent xmlns:mc="http://schemas.openxmlformats.org/markup-compatibility/2006">
          <mc:Choice Requires="x14">
            <control shapeId="4101" r:id="rId7" name="Button 5">
              <controlPr defaultSize="0" print="0" autoFill="0" autoPict="0" macro="[0]!Tabelle5.sortByESM_NCT">
                <anchor moveWithCells="1" sizeWithCells="1">
                  <from>
                    <xdr:col>0</xdr:col>
                    <xdr:colOff>3057525</xdr:colOff>
                    <xdr:row>2</xdr:row>
                    <xdr:rowOff>161925</xdr:rowOff>
                  </from>
                  <to>
                    <xdr:col>0</xdr:col>
                    <xdr:colOff>5124450</xdr:colOff>
                    <xdr:row>2</xdr:row>
                    <xdr:rowOff>352425</xdr:rowOff>
                  </to>
                </anchor>
              </controlPr>
            </control>
          </mc:Choice>
        </mc:AlternateContent>
        <mc:AlternateContent xmlns:mc="http://schemas.openxmlformats.org/markup-compatibility/2006">
          <mc:Choice Requires="x14">
            <control shapeId="4102" r:id="rId8" name="Button 6">
              <controlPr defaultSize="0" print="0" autoFill="0" autoPict="0" macro="[0]!Tabelle5.sortByESM">
                <anchor moveWithCells="1">
                  <from>
                    <xdr:col>0</xdr:col>
                    <xdr:colOff>3057525</xdr:colOff>
                    <xdr:row>2</xdr:row>
                    <xdr:rowOff>657225</xdr:rowOff>
                  </from>
                  <to>
                    <xdr:col>0</xdr:col>
                    <xdr:colOff>5124450</xdr:colOff>
                    <xdr:row>2</xdr:row>
                    <xdr:rowOff>857250</xdr:rowOff>
                  </to>
                </anchor>
              </controlPr>
            </control>
          </mc:Choice>
        </mc:AlternateContent>
        <mc:AlternateContent xmlns:mc="http://schemas.openxmlformats.org/markup-compatibility/2006">
          <mc:Choice Requires="x14">
            <control shapeId="4104" r:id="rId9" name="Button 8">
              <controlPr defaultSize="0" print="0" autoFill="0" autoPict="0" macro="[0]!Tabelle5.exclalt">
                <anchor moveWithCells="1">
                  <from>
                    <xdr:col>0</xdr:col>
                    <xdr:colOff>3057525</xdr:colOff>
                    <xdr:row>2</xdr:row>
                    <xdr:rowOff>904875</xdr:rowOff>
                  </from>
                  <to>
                    <xdr:col>0</xdr:col>
                    <xdr:colOff>5124450</xdr:colOff>
                    <xdr:row>2</xdr:row>
                    <xdr:rowOff>1104900</xdr:rowOff>
                  </to>
                </anchor>
              </controlPr>
            </control>
          </mc:Choice>
        </mc:AlternateContent>
        <mc:AlternateContent xmlns:mc="http://schemas.openxmlformats.org/markup-compatibility/2006">
          <mc:Choice Requires="x14">
            <control shapeId="4105" r:id="rId10" name="Button 9">
              <controlPr defaultSize="0" print="0" autoFill="0" autoPict="0" macro="[0]!Tabelle5.calculateAttributeCriticality">
                <anchor moveWithCells="1">
                  <from>
                    <xdr:col>0</xdr:col>
                    <xdr:colOff>9525</xdr:colOff>
                    <xdr:row>2</xdr:row>
                    <xdr:rowOff>619125</xdr:rowOff>
                  </from>
                  <to>
                    <xdr:col>0</xdr:col>
                    <xdr:colOff>2438400</xdr:colOff>
                    <xdr:row>2</xdr:row>
                    <xdr:rowOff>1104900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pageSetUpPr fitToPage="1"/>
  </sheetPr>
  <dimension ref="A1:AM69"/>
  <sheetViews>
    <sheetView showGridLines="0" tabSelected="1" zoomScale="70" zoomScaleNormal="70" zoomScalePageLayoutView="55" workbookViewId="0">
      <selection activeCell="B4" sqref="B4"/>
    </sheetView>
  </sheetViews>
  <sheetFormatPr defaultColWidth="5.5703125" defaultRowHeight="15" zeroHeight="1" x14ac:dyDescent="0.25"/>
  <cols>
    <col min="1" max="35" width="5.5703125" customWidth="1"/>
  </cols>
  <sheetData>
    <row r="1" spans="1:39" x14ac:dyDescent="0.25">
      <c r="AA1" s="81" t="s">
        <v>1612</v>
      </c>
      <c r="AB1" s="37"/>
      <c r="AJ1" s="754"/>
    </row>
    <row r="2" spans="1:39" x14ac:dyDescent="0.25">
      <c r="AA2" t="s">
        <v>1613</v>
      </c>
      <c r="AB2" s="37"/>
    </row>
    <row r="3" spans="1:39" ht="15" customHeight="1" x14ac:dyDescent="0.25">
      <c r="A3" s="37"/>
      <c r="B3" s="37"/>
      <c r="C3" s="37"/>
      <c r="D3" s="37"/>
      <c r="E3" s="37"/>
      <c r="F3" s="37"/>
      <c r="G3" s="37"/>
      <c r="H3" s="401"/>
      <c r="I3" s="37"/>
      <c r="J3" s="37"/>
      <c r="K3" s="37"/>
      <c r="L3" s="37"/>
      <c r="M3" s="37"/>
      <c r="N3" s="37"/>
      <c r="O3" s="37"/>
      <c r="P3" s="37"/>
      <c r="Q3" s="37"/>
      <c r="R3" s="404">
        <v>0</v>
      </c>
      <c r="S3" s="37"/>
      <c r="T3" s="37"/>
      <c r="U3" s="37"/>
      <c r="V3" s="37"/>
      <c r="W3" s="37"/>
      <c r="X3" s="425"/>
      <c r="Y3" s="37"/>
      <c r="Z3" s="37"/>
      <c r="AA3" s="37" t="s">
        <v>1614</v>
      </c>
      <c r="AB3" s="37"/>
      <c r="AC3" s="37"/>
      <c r="AD3" s="37"/>
      <c r="AE3" s="37"/>
      <c r="AF3" s="37"/>
      <c r="AG3" s="37"/>
      <c r="AH3" s="37"/>
      <c r="AI3" s="37"/>
      <c r="AJ3" s="37"/>
      <c r="AK3" s="37"/>
      <c r="AL3" s="37"/>
      <c r="AM3" s="37"/>
    </row>
    <row r="4" spans="1:39" ht="15" customHeight="1" x14ac:dyDescent="0.25">
      <c r="A4" s="37"/>
      <c r="B4" s="37"/>
      <c r="C4" s="37"/>
      <c r="D4" s="37"/>
      <c r="E4" s="37"/>
      <c r="F4" s="37"/>
      <c r="G4" s="37"/>
      <c r="H4" s="401"/>
      <c r="I4" s="37"/>
      <c r="J4" s="37"/>
      <c r="K4" s="402"/>
      <c r="L4" s="37"/>
      <c r="M4" s="37"/>
      <c r="N4" s="37"/>
      <c r="O4" s="37"/>
      <c r="P4" s="37"/>
      <c r="Q4" s="37"/>
      <c r="R4" s="37"/>
      <c r="S4" s="97"/>
      <c r="T4" s="37"/>
      <c r="U4" s="37"/>
      <c r="V4" s="37"/>
      <c r="W4" s="403"/>
      <c r="X4" s="812">
        <v>2.4370800000000012</v>
      </c>
      <c r="Y4" s="37"/>
      <c r="Z4" s="37"/>
      <c r="AA4" s="37"/>
      <c r="AB4" s="37"/>
      <c r="AC4" s="37"/>
      <c r="AD4" s="97"/>
      <c r="AE4" s="37"/>
      <c r="AF4" s="37"/>
      <c r="AG4" s="37"/>
      <c r="AH4" s="37"/>
      <c r="AI4" s="37"/>
      <c r="AJ4" s="37"/>
      <c r="AK4" s="37"/>
      <c r="AL4" s="37"/>
      <c r="AM4" s="37"/>
    </row>
    <row r="5" spans="1:39" ht="15" customHeight="1" x14ac:dyDescent="0.25">
      <c r="A5" s="37"/>
      <c r="B5" s="37"/>
      <c r="C5" s="37"/>
      <c r="D5" s="37"/>
      <c r="E5" s="37"/>
      <c r="F5" s="37"/>
      <c r="G5" s="37"/>
      <c r="H5" s="682"/>
      <c r="I5" s="37"/>
      <c r="J5" s="404">
        <v>0</v>
      </c>
      <c r="K5" s="402"/>
      <c r="L5" s="37"/>
      <c r="M5" s="37"/>
      <c r="N5" s="37"/>
      <c r="O5" s="37"/>
      <c r="P5" s="37"/>
      <c r="Q5" s="37"/>
      <c r="R5" s="37"/>
      <c r="S5" s="97"/>
      <c r="T5" s="37"/>
      <c r="U5" s="37"/>
      <c r="V5" s="37"/>
      <c r="W5" s="403"/>
      <c r="X5" s="812"/>
      <c r="Y5" s="37"/>
      <c r="Z5" s="37"/>
      <c r="AA5" s="37"/>
      <c r="AB5" s="37"/>
      <c r="AC5" s="37"/>
      <c r="AD5" s="97"/>
      <c r="AE5" s="37"/>
      <c r="AF5" s="422">
        <v>0</v>
      </c>
      <c r="AG5" s="404" t="s">
        <v>1562</v>
      </c>
      <c r="AH5" s="37"/>
      <c r="AI5" s="37"/>
      <c r="AJ5" s="37"/>
      <c r="AK5" s="37"/>
      <c r="AL5" s="37"/>
      <c r="AM5" s="37"/>
    </row>
    <row r="6" spans="1:39" ht="15" customHeight="1" x14ac:dyDescent="0.25">
      <c r="A6" s="37"/>
      <c r="B6" s="37"/>
      <c r="C6" s="37"/>
      <c r="D6" s="37"/>
      <c r="E6" s="37"/>
      <c r="F6" s="37"/>
      <c r="G6" s="37"/>
      <c r="H6" s="37"/>
      <c r="I6" s="37"/>
      <c r="J6" s="37"/>
      <c r="K6" s="37"/>
      <c r="L6" s="37"/>
      <c r="M6" s="37"/>
      <c r="N6" s="37"/>
      <c r="O6" s="37"/>
      <c r="P6" s="37"/>
      <c r="Q6" s="422">
        <v>0</v>
      </c>
      <c r="R6" s="37"/>
      <c r="S6" s="326"/>
      <c r="T6" s="37"/>
      <c r="U6" s="37"/>
      <c r="V6" s="37"/>
      <c r="W6" s="37"/>
      <c r="X6" s="37"/>
      <c r="Y6" s="37"/>
      <c r="Z6" s="37"/>
      <c r="AA6" s="37"/>
      <c r="AB6" s="37"/>
      <c r="AC6" s="327"/>
      <c r="AD6" s="328"/>
      <c r="AE6" s="37"/>
      <c r="AF6" s="37"/>
      <c r="AG6" s="37"/>
      <c r="AH6" s="37"/>
      <c r="AI6" s="37"/>
      <c r="AJ6" s="37"/>
      <c r="AK6" s="37"/>
      <c r="AL6" s="37"/>
      <c r="AM6" s="37"/>
    </row>
    <row r="7" spans="1:39" ht="15" customHeight="1" x14ac:dyDescent="0.25">
      <c r="A7" s="731">
        <v>0</v>
      </c>
      <c r="B7" s="37"/>
      <c r="C7" s="37"/>
      <c r="D7" s="37"/>
      <c r="E7" s="37"/>
      <c r="F7" s="37"/>
      <c r="G7" s="37"/>
      <c r="H7" s="37"/>
      <c r="I7" s="736">
        <v>0</v>
      </c>
      <c r="J7" s="37"/>
      <c r="K7" s="37"/>
      <c r="L7" s="37"/>
      <c r="M7" s="37"/>
      <c r="N7" s="37"/>
      <c r="O7" s="37"/>
      <c r="P7" s="37"/>
      <c r="Q7" s="37"/>
      <c r="R7" s="37"/>
      <c r="S7" s="37"/>
      <c r="T7" s="37"/>
      <c r="U7" s="37"/>
      <c r="V7" s="37"/>
      <c r="W7" s="37"/>
      <c r="X7" s="37"/>
      <c r="Y7" s="37"/>
      <c r="Z7" s="822">
        <v>1.1655</v>
      </c>
      <c r="AA7" s="37"/>
      <c r="AB7" s="37"/>
      <c r="AC7" s="37"/>
      <c r="AD7" s="37"/>
      <c r="AE7" s="822">
        <v>1.1655</v>
      </c>
      <c r="AF7" s="37"/>
      <c r="AG7" s="37"/>
      <c r="AH7" s="37"/>
      <c r="AI7" s="37"/>
      <c r="AK7" s="37"/>
      <c r="AL7" s="37"/>
      <c r="AM7" s="37"/>
    </row>
    <row r="8" spans="1:39" ht="15" customHeight="1" x14ac:dyDescent="0.25">
      <c r="A8" s="37"/>
      <c r="B8" s="37"/>
      <c r="C8" s="37"/>
      <c r="D8" s="37"/>
      <c r="E8" s="37"/>
      <c r="F8" s="815">
        <v>0</v>
      </c>
      <c r="G8" s="815">
        <v>0</v>
      </c>
      <c r="H8" s="330"/>
      <c r="I8" s="325"/>
      <c r="J8" s="325"/>
      <c r="K8" s="37"/>
      <c r="L8" s="37"/>
      <c r="M8" s="37"/>
      <c r="N8" s="37"/>
      <c r="O8" s="37"/>
      <c r="P8" s="37"/>
      <c r="Q8" s="37"/>
      <c r="R8" s="37"/>
      <c r="S8" s="37"/>
      <c r="T8" s="37"/>
      <c r="U8" s="331"/>
      <c r="V8" s="37"/>
      <c r="W8" s="37"/>
      <c r="X8" s="37"/>
      <c r="Y8" s="37"/>
      <c r="Z8" s="822"/>
      <c r="AA8" s="37"/>
      <c r="AB8" s="332"/>
      <c r="AC8" s="333"/>
      <c r="AD8" s="37"/>
      <c r="AE8" s="822"/>
      <c r="AF8" s="37"/>
      <c r="AG8" s="37"/>
      <c r="AH8" s="37"/>
      <c r="AI8" s="37"/>
      <c r="AJ8" s="37"/>
      <c r="AK8" s="37"/>
      <c r="AL8" s="37"/>
      <c r="AM8" s="37"/>
    </row>
    <row r="9" spans="1:39" ht="15" customHeight="1" x14ac:dyDescent="0.25">
      <c r="A9" s="405"/>
      <c r="B9" s="769">
        <v>0</v>
      </c>
      <c r="C9" s="37"/>
      <c r="D9" s="37"/>
      <c r="E9" s="37"/>
      <c r="F9" s="816"/>
      <c r="G9" s="812"/>
      <c r="H9" s="37"/>
      <c r="I9" s="37"/>
      <c r="J9" s="37"/>
      <c r="K9" s="37"/>
      <c r="L9" s="37"/>
      <c r="M9" s="37"/>
      <c r="N9" s="37"/>
      <c r="O9" s="335"/>
      <c r="P9" s="37"/>
      <c r="Q9" s="37"/>
      <c r="R9" s="37"/>
      <c r="S9" s="37"/>
      <c r="T9" s="37"/>
      <c r="U9" s="37"/>
      <c r="V9" s="37"/>
      <c r="W9" s="37"/>
      <c r="X9" s="37"/>
      <c r="Y9" s="347"/>
      <c r="Z9" s="768">
        <v>0</v>
      </c>
      <c r="AA9" s="404" t="s">
        <v>1562</v>
      </c>
      <c r="AB9" s="37"/>
      <c r="AC9" s="37"/>
      <c r="AD9" s="37"/>
      <c r="AE9" s="37"/>
      <c r="AF9" s="37"/>
      <c r="AG9" s="37"/>
      <c r="AH9" s="37"/>
      <c r="AI9" s="37"/>
      <c r="AJ9" s="37"/>
      <c r="AK9" s="37"/>
      <c r="AL9" s="37"/>
      <c r="AM9" s="37"/>
    </row>
    <row r="10" spans="1:39" ht="15" customHeight="1" x14ac:dyDescent="0.25">
      <c r="A10" s="37"/>
      <c r="B10" s="37"/>
      <c r="C10" s="37"/>
      <c r="E10" s="37"/>
      <c r="F10" s="37"/>
      <c r="G10" s="404">
        <v>0</v>
      </c>
      <c r="H10" s="37"/>
      <c r="I10" s="37"/>
      <c r="J10" s="37"/>
      <c r="K10" s="37"/>
      <c r="L10" s="37"/>
      <c r="M10" s="37"/>
      <c r="N10" s="37"/>
      <c r="O10" s="336"/>
      <c r="P10" s="37"/>
      <c r="Q10" s="37"/>
      <c r="R10" s="37"/>
      <c r="S10" s="37"/>
      <c r="T10" s="37"/>
      <c r="U10" s="37"/>
      <c r="V10" s="37"/>
      <c r="W10" s="37"/>
      <c r="X10" s="37"/>
      <c r="Y10" s="37"/>
      <c r="Z10" s="336"/>
      <c r="AA10" s="37"/>
      <c r="AB10" s="329">
        <v>0</v>
      </c>
      <c r="AC10" s="805"/>
      <c r="AD10" s="805"/>
      <c r="AE10" s="37"/>
      <c r="AF10" s="37"/>
      <c r="AG10" s="37"/>
      <c r="AH10" s="37"/>
      <c r="AI10" s="37"/>
      <c r="AJ10" s="37"/>
      <c r="AK10" s="37"/>
      <c r="AL10" s="37"/>
      <c r="AM10" s="37"/>
    </row>
    <row r="11" spans="1:39" ht="15" customHeight="1" x14ac:dyDescent="0.25">
      <c r="A11" s="37"/>
      <c r="C11" s="404">
        <v>0</v>
      </c>
      <c r="D11" s="804">
        <v>0</v>
      </c>
      <c r="E11" s="811"/>
      <c r="F11" s="37"/>
      <c r="G11" s="37"/>
      <c r="H11" s="37"/>
      <c r="I11" s="37"/>
      <c r="J11" s="325"/>
      <c r="K11" s="337"/>
      <c r="L11" s="37"/>
      <c r="M11" s="37"/>
      <c r="N11" s="37"/>
      <c r="O11" s="338"/>
      <c r="P11" s="37"/>
      <c r="Q11" s="768">
        <v>0</v>
      </c>
      <c r="R11" s="37"/>
      <c r="S11" s="37"/>
      <c r="T11" s="37"/>
      <c r="U11" s="37"/>
      <c r="V11" s="37"/>
      <c r="W11" s="339"/>
      <c r="X11" s="37"/>
      <c r="Y11" s="37"/>
      <c r="Z11" s="336"/>
      <c r="AA11" s="37"/>
      <c r="AB11" s="37"/>
      <c r="AC11" s="340"/>
      <c r="AD11" s="341"/>
      <c r="AE11" s="37"/>
      <c r="AF11" s="37"/>
      <c r="AG11" s="342"/>
      <c r="AH11" s="37"/>
      <c r="AI11" s="404">
        <v>0</v>
      </c>
      <c r="AJ11" s="404" t="s">
        <v>2003</v>
      </c>
      <c r="AK11" s="37"/>
      <c r="AL11" s="37"/>
      <c r="AM11" s="37"/>
    </row>
    <row r="12" spans="1:39" ht="15" customHeight="1" x14ac:dyDescent="0.25">
      <c r="A12" s="37"/>
      <c r="B12" s="37"/>
      <c r="C12" s="37"/>
      <c r="D12" s="37"/>
      <c r="E12" s="37"/>
      <c r="F12" s="37"/>
      <c r="G12" s="37"/>
      <c r="H12" s="37"/>
      <c r="I12" s="37"/>
      <c r="J12" s="37"/>
      <c r="K12" s="37"/>
      <c r="L12" s="37"/>
      <c r="M12" s="37"/>
      <c r="N12" s="343"/>
      <c r="O12" s="338"/>
      <c r="P12" s="335"/>
      <c r="Q12" s="335"/>
      <c r="R12" s="335"/>
      <c r="S12" s="335"/>
      <c r="T12" s="37"/>
      <c r="U12" s="37"/>
      <c r="V12" s="37"/>
      <c r="W12" s="344"/>
      <c r="X12" s="37"/>
      <c r="Y12" s="37"/>
      <c r="Z12" s="338"/>
      <c r="AA12" s="37"/>
      <c r="AB12" s="345"/>
      <c r="AC12" s="37"/>
      <c r="AD12" s="37"/>
      <c r="AE12" s="37"/>
      <c r="AF12" s="37"/>
      <c r="AG12" s="768">
        <v>0</v>
      </c>
      <c r="AH12" s="736" t="s">
        <v>2009</v>
      </c>
      <c r="AI12" s="37"/>
      <c r="AJ12" s="37"/>
      <c r="AK12" s="37"/>
      <c r="AL12" s="37"/>
      <c r="AM12" s="37"/>
    </row>
    <row r="13" spans="1:39" ht="15" customHeight="1" x14ac:dyDescent="0.25">
      <c r="A13" s="37"/>
      <c r="B13" s="37"/>
      <c r="C13" s="37"/>
      <c r="D13" s="37"/>
      <c r="E13" s="37"/>
      <c r="F13" s="37"/>
      <c r="G13" s="37"/>
      <c r="I13" s="422">
        <v>0</v>
      </c>
      <c r="J13" s="37"/>
      <c r="K13" s="37"/>
      <c r="L13" s="37"/>
      <c r="M13" s="346"/>
      <c r="N13" s="37"/>
      <c r="O13" s="336"/>
      <c r="P13" s="37"/>
      <c r="Q13" s="824">
        <v>0.92137999999999998</v>
      </c>
      <c r="R13" s="37"/>
      <c r="S13" s="37"/>
      <c r="T13" s="37"/>
      <c r="U13" s="37"/>
      <c r="V13" s="37"/>
      <c r="W13" s="37"/>
      <c r="X13" s="347"/>
      <c r="Y13" s="823">
        <v>0</v>
      </c>
      <c r="Z13" s="336"/>
      <c r="AA13" s="37"/>
      <c r="AB13" s="37"/>
      <c r="AC13" s="37"/>
      <c r="AD13" s="37"/>
      <c r="AE13" s="37"/>
      <c r="AF13" s="37"/>
      <c r="AG13" s="348"/>
      <c r="AH13" s="37"/>
      <c r="AI13" s="817"/>
      <c r="AJ13" s="817"/>
      <c r="AK13" s="37"/>
      <c r="AL13" s="404">
        <v>0</v>
      </c>
      <c r="AM13" s="37"/>
    </row>
    <row r="14" spans="1:39" ht="15" customHeight="1" x14ac:dyDescent="0.25">
      <c r="A14" s="37"/>
      <c r="B14" s="37"/>
      <c r="C14" s="37"/>
      <c r="D14" s="37">
        <v>45.075740607817067</v>
      </c>
      <c r="E14" s="37"/>
      <c r="F14" s="37"/>
      <c r="G14" s="37"/>
      <c r="H14" s="37"/>
      <c r="I14" s="37"/>
      <c r="J14" s="37"/>
      <c r="K14" s="37"/>
      <c r="L14" s="37"/>
      <c r="M14" s="37"/>
      <c r="N14" s="37"/>
      <c r="O14" s="336"/>
      <c r="P14" s="37"/>
      <c r="Q14" s="824"/>
      <c r="R14" s="37"/>
      <c r="S14" s="37"/>
      <c r="T14" s="37"/>
      <c r="U14" s="37"/>
      <c r="V14" s="37"/>
      <c r="W14" s="37"/>
      <c r="X14" s="37"/>
      <c r="Y14" s="824"/>
      <c r="Z14" s="349"/>
      <c r="AA14" s="37"/>
      <c r="AB14" s="37"/>
      <c r="AC14" s="37"/>
      <c r="AD14" s="37"/>
      <c r="AE14" s="37"/>
      <c r="AF14" s="37"/>
      <c r="AG14" s="37"/>
      <c r="AH14" s="37"/>
      <c r="AI14" s="37"/>
      <c r="AJ14" s="37"/>
      <c r="AK14" s="37"/>
      <c r="AL14" s="37"/>
      <c r="AM14" s="37"/>
    </row>
    <row r="15" spans="1:39" ht="15" customHeight="1" x14ac:dyDescent="0.25">
      <c r="A15" s="37"/>
      <c r="B15" s="37"/>
      <c r="C15" s="37"/>
      <c r="D15" s="37"/>
      <c r="E15" s="37"/>
      <c r="F15" s="37"/>
      <c r="G15" s="37"/>
      <c r="H15" s="37"/>
      <c r="I15" s="736">
        <v>0</v>
      </c>
      <c r="J15" s="37"/>
      <c r="K15" s="37"/>
      <c r="L15" s="37"/>
      <c r="M15" s="37"/>
      <c r="N15" s="350"/>
      <c r="O15" s="336"/>
      <c r="P15" s="37"/>
      <c r="Q15" s="37"/>
      <c r="R15" s="37"/>
      <c r="S15" s="37"/>
      <c r="T15" s="37"/>
      <c r="U15" s="335"/>
      <c r="V15" s="37"/>
      <c r="W15" s="37"/>
      <c r="X15" s="37"/>
      <c r="Y15" s="37"/>
      <c r="Z15" s="336"/>
      <c r="AA15" s="37"/>
      <c r="AB15" s="37"/>
      <c r="AC15" s="37"/>
      <c r="AD15" s="37"/>
      <c r="AE15" s="404">
        <v>0</v>
      </c>
      <c r="AF15" s="37"/>
      <c r="AG15" s="37"/>
      <c r="AH15" s="37"/>
      <c r="AI15" s="37"/>
      <c r="AJ15" s="37"/>
      <c r="AK15" s="37"/>
      <c r="AL15" s="37"/>
      <c r="AM15" s="37"/>
    </row>
    <row r="16" spans="1:39" ht="15" customHeight="1" x14ac:dyDescent="0.25">
      <c r="A16" s="37"/>
      <c r="B16" s="37"/>
      <c r="C16" s="37"/>
      <c r="D16" s="37"/>
      <c r="E16" s="37"/>
      <c r="F16" s="37"/>
      <c r="G16" s="37"/>
      <c r="H16" s="37"/>
      <c r="I16" s="37"/>
      <c r="J16" s="37"/>
      <c r="K16" s="37"/>
      <c r="L16" s="37"/>
      <c r="M16" s="37"/>
      <c r="N16" s="37"/>
      <c r="O16" s="351"/>
      <c r="P16" s="37"/>
      <c r="Q16" s="352"/>
      <c r="R16" s="37"/>
      <c r="S16" s="37"/>
      <c r="T16" s="37"/>
      <c r="U16" s="335"/>
      <c r="V16" s="37"/>
      <c r="W16" s="340"/>
      <c r="X16" s="37"/>
      <c r="Y16" s="37"/>
      <c r="Z16" s="335"/>
      <c r="AA16" s="37"/>
      <c r="AB16" s="348"/>
      <c r="AC16" s="37"/>
      <c r="AD16" s="37"/>
      <c r="AE16" s="37"/>
      <c r="AF16" s="347"/>
      <c r="AG16" s="353"/>
      <c r="AH16" s="341"/>
      <c r="AI16" s="37"/>
      <c r="AJ16" s="37"/>
      <c r="AK16" s="37"/>
      <c r="AL16" s="37"/>
      <c r="AM16" s="37"/>
    </row>
    <row r="17" spans="1:39" ht="15" customHeight="1" x14ac:dyDescent="0.25">
      <c r="A17" s="37"/>
      <c r="B17" s="37"/>
      <c r="C17" s="37"/>
      <c r="D17" s="37"/>
      <c r="E17" s="37"/>
      <c r="F17" s="37"/>
      <c r="G17" s="37"/>
      <c r="H17" s="37"/>
      <c r="I17" s="422">
        <v>0</v>
      </c>
      <c r="J17" s="37"/>
      <c r="K17" s="37"/>
      <c r="L17" s="37"/>
      <c r="M17" s="37"/>
      <c r="N17" s="354"/>
      <c r="O17" s="37"/>
      <c r="P17" s="37" t="s">
        <v>1563</v>
      </c>
      <c r="Q17" s="37"/>
      <c r="R17" s="37"/>
      <c r="S17" s="37"/>
      <c r="T17" s="37"/>
      <c r="U17" s="804">
        <v>0</v>
      </c>
      <c r="V17" s="806"/>
      <c r="W17" s="37"/>
      <c r="X17" s="769">
        <v>0</v>
      </c>
      <c r="Y17" s="37"/>
      <c r="Z17" s="37"/>
      <c r="AA17" s="37"/>
      <c r="AB17" s="392">
        <v>0</v>
      </c>
      <c r="AC17" s="817"/>
      <c r="AD17" s="831"/>
      <c r="AE17" s="37"/>
      <c r="AF17" s="353"/>
      <c r="AG17" s="37"/>
      <c r="AH17" s="37"/>
      <c r="AI17" s="37"/>
      <c r="AJ17" s="37"/>
      <c r="AK17" s="37"/>
      <c r="AL17" s="37"/>
      <c r="AM17" s="37"/>
    </row>
    <row r="18" spans="1:39" ht="15" customHeight="1" x14ac:dyDescent="0.25">
      <c r="A18" s="37"/>
      <c r="B18" s="37"/>
      <c r="C18" s="37"/>
      <c r="D18" s="37"/>
      <c r="E18" s="37"/>
      <c r="F18" s="37"/>
      <c r="G18" s="37"/>
      <c r="H18" s="37"/>
      <c r="I18" s="355"/>
      <c r="J18" s="356"/>
      <c r="K18" s="357"/>
      <c r="L18" s="37"/>
      <c r="M18" s="37"/>
      <c r="N18" s="37"/>
      <c r="O18" s="37"/>
      <c r="P18" s="423">
        <v>9.7922553358738501E-4</v>
      </c>
      <c r="Q18" s="37"/>
      <c r="R18" s="37"/>
      <c r="S18" s="37"/>
      <c r="T18" s="37"/>
      <c r="U18" s="358"/>
      <c r="V18" s="37"/>
      <c r="W18" s="359"/>
      <c r="X18" s="37"/>
      <c r="Y18" s="37"/>
      <c r="Z18" s="336"/>
      <c r="AA18" s="37"/>
      <c r="AB18" s="37"/>
      <c r="AC18" s="360"/>
      <c r="AD18" s="361"/>
      <c r="AE18" s="362"/>
      <c r="AF18" s="37"/>
      <c r="AG18" s="37"/>
      <c r="AH18" s="37"/>
      <c r="AI18" s="37"/>
      <c r="AJ18" s="37"/>
      <c r="AK18" s="37"/>
      <c r="AL18" s="37"/>
      <c r="AM18" s="37"/>
    </row>
    <row r="19" spans="1:39" ht="15" customHeight="1" x14ac:dyDescent="0.25">
      <c r="A19" s="37"/>
      <c r="B19" s="37"/>
      <c r="C19" s="37"/>
      <c r="D19" s="37"/>
      <c r="E19" s="37"/>
      <c r="F19" s="37"/>
      <c r="G19" s="37"/>
      <c r="H19" s="335"/>
      <c r="I19" s="37"/>
      <c r="J19" s="37"/>
      <c r="K19" s="37"/>
      <c r="L19" s="37"/>
      <c r="M19" s="37"/>
      <c r="N19" s="37"/>
      <c r="O19" s="37"/>
      <c r="P19" s="424">
        <v>3.2101136014324786E-3</v>
      </c>
      <c r="Q19" s="37"/>
      <c r="R19" s="37"/>
      <c r="S19" s="37"/>
      <c r="T19" s="37"/>
      <c r="U19" s="37"/>
      <c r="V19" s="37"/>
      <c r="W19" s="37"/>
      <c r="X19" s="404">
        <v>0</v>
      </c>
      <c r="Y19" s="829"/>
      <c r="Z19" s="336"/>
      <c r="AA19" s="37"/>
      <c r="AB19" s="37"/>
      <c r="AC19" s="37"/>
      <c r="AD19" s="37"/>
      <c r="AE19" s="37"/>
      <c r="AF19" s="37"/>
      <c r="AG19" s="335"/>
      <c r="AH19" s="37"/>
      <c r="AI19" s="37"/>
      <c r="AJ19" s="37"/>
      <c r="AK19" s="37"/>
      <c r="AL19" s="37"/>
      <c r="AM19" s="37"/>
    </row>
    <row r="20" spans="1:39" ht="15" customHeight="1" x14ac:dyDescent="0.25">
      <c r="A20" s="37"/>
      <c r="B20" s="37"/>
      <c r="C20" s="37"/>
      <c r="D20" s="37"/>
      <c r="E20" s="37"/>
      <c r="F20" s="37"/>
      <c r="G20" s="37"/>
      <c r="H20" s="97"/>
      <c r="I20" s="97"/>
      <c r="J20" s="37"/>
      <c r="K20" s="363"/>
      <c r="L20" s="97"/>
      <c r="M20" s="97"/>
      <c r="N20" s="37"/>
      <c r="O20" s="335"/>
      <c r="P20" s="37"/>
      <c r="Q20" s="37"/>
      <c r="R20" s="37"/>
      <c r="S20" s="352"/>
      <c r="T20" s="37"/>
      <c r="U20" s="335"/>
      <c r="V20" s="37"/>
      <c r="W20" s="37"/>
      <c r="X20" s="348"/>
      <c r="Y20" s="829"/>
      <c r="Z20" s="336"/>
      <c r="AA20" s="37"/>
      <c r="AB20" s="37"/>
      <c r="AC20" s="37"/>
      <c r="AD20" s="37"/>
      <c r="AE20" s="37"/>
      <c r="AF20" s="37"/>
      <c r="AG20" s="335"/>
      <c r="AH20" s="37"/>
      <c r="AI20" s="37"/>
      <c r="AJ20" s="37"/>
      <c r="AK20" s="37"/>
      <c r="AL20" s="37"/>
      <c r="AM20" s="37"/>
    </row>
    <row r="21" spans="1:39" ht="15" customHeight="1" x14ac:dyDescent="0.25">
      <c r="A21" s="37"/>
      <c r="B21" s="37"/>
      <c r="C21" s="422">
        <v>0</v>
      </c>
      <c r="D21" s="404" t="s">
        <v>1516</v>
      </c>
      <c r="E21" s="37"/>
      <c r="F21" s="422">
        <v>0</v>
      </c>
      <c r="G21" s="404" t="s">
        <v>1515</v>
      </c>
      <c r="H21" s="37"/>
      <c r="I21" s="37"/>
      <c r="J21" s="364"/>
      <c r="K21" s="37"/>
      <c r="L21" s="37"/>
      <c r="M21" s="37"/>
      <c r="N21" s="37"/>
      <c r="O21" s="37"/>
      <c r="P21" s="37"/>
      <c r="Q21" s="37"/>
      <c r="R21" s="37"/>
      <c r="S21" s="37"/>
      <c r="T21" s="37"/>
      <c r="U21" s="365"/>
      <c r="V21" s="37"/>
      <c r="W21" s="347"/>
      <c r="X21" s="366"/>
      <c r="Y21" s="37"/>
      <c r="Z21" s="336"/>
      <c r="AA21" s="37"/>
      <c r="AB21" s="37"/>
      <c r="AC21" s="37"/>
      <c r="AD21" s="37"/>
      <c r="AE21" s="37"/>
      <c r="AF21" s="37"/>
      <c r="AG21" s="404">
        <v>0</v>
      </c>
      <c r="AH21" s="37"/>
      <c r="AI21" s="37"/>
      <c r="AJ21" s="37"/>
      <c r="AK21" s="37"/>
      <c r="AL21" s="37"/>
      <c r="AM21" s="37"/>
    </row>
    <row r="22" spans="1:39" ht="15" customHeight="1" x14ac:dyDescent="0.25">
      <c r="A22" s="37"/>
      <c r="B22" s="37"/>
      <c r="C22" s="422">
        <v>0</v>
      </c>
      <c r="D22" s="404" t="s">
        <v>1543</v>
      </c>
      <c r="E22" s="809">
        <v>0</v>
      </c>
      <c r="F22" s="810"/>
      <c r="G22" s="404" t="s">
        <v>1548</v>
      </c>
      <c r="H22" s="37"/>
      <c r="I22" s="364"/>
      <c r="J22" s="357"/>
      <c r="K22" s="37"/>
      <c r="L22" s="37"/>
      <c r="M22" s="37"/>
      <c r="N22" s="37"/>
      <c r="O22" s="360"/>
      <c r="P22" s="37"/>
      <c r="Q22" s="37"/>
      <c r="R22" s="37"/>
      <c r="S22" s="37"/>
      <c r="T22" s="37"/>
      <c r="U22" s="338"/>
      <c r="V22" s="37"/>
      <c r="W22" s="336"/>
      <c r="X22" s="37"/>
      <c r="Y22" s="37"/>
      <c r="Z22" s="367"/>
      <c r="AA22" s="37"/>
      <c r="AB22" s="368"/>
      <c r="AC22" s="37"/>
      <c r="AD22" s="369"/>
      <c r="AE22" s="368"/>
      <c r="AF22" s="37"/>
      <c r="AG22" s="37"/>
      <c r="AH22" s="37"/>
      <c r="AI22" s="37"/>
      <c r="AJ22" s="37"/>
      <c r="AK22" s="37"/>
      <c r="AL22" s="37"/>
      <c r="AM22" s="37"/>
    </row>
    <row r="23" spans="1:39" ht="15" customHeight="1" x14ac:dyDescent="0.25">
      <c r="A23" s="37"/>
      <c r="B23" s="37"/>
      <c r="C23" s="37"/>
      <c r="D23" s="37"/>
      <c r="E23" s="37"/>
      <c r="F23" s="422">
        <v>0</v>
      </c>
      <c r="G23" s="404" t="s">
        <v>1656</v>
      </c>
      <c r="H23" s="37"/>
      <c r="I23" s="37"/>
      <c r="J23" s="37"/>
      <c r="K23" s="408">
        <v>2.3218800000000011</v>
      </c>
      <c r="L23" s="37"/>
      <c r="M23" s="805">
        <v>1.1654999999999993</v>
      </c>
      <c r="N23" s="805"/>
      <c r="O23" s="410">
        <v>0.92040000000000044</v>
      </c>
      <c r="P23" s="37"/>
      <c r="Q23" s="37"/>
      <c r="R23" s="37"/>
      <c r="S23" s="37"/>
      <c r="T23" s="37"/>
      <c r="U23" s="825">
        <v>0</v>
      </c>
      <c r="V23" s="826"/>
      <c r="W23" s="37"/>
      <c r="X23" s="37"/>
      <c r="Y23" s="37"/>
      <c r="Z23" s="370"/>
      <c r="AA23" s="37"/>
      <c r="AB23" s="37"/>
      <c r="AC23" s="37"/>
      <c r="AD23" s="368"/>
      <c r="AE23" s="362"/>
      <c r="AF23" s="37"/>
      <c r="AG23" s="354"/>
      <c r="AH23" s="37"/>
      <c r="AI23" s="371"/>
      <c r="AJ23" s="37"/>
      <c r="AK23" s="37"/>
      <c r="AL23" s="37"/>
      <c r="AM23" s="37"/>
    </row>
    <row r="24" spans="1:39" ht="15" customHeight="1" x14ac:dyDescent="0.25">
      <c r="A24" s="37"/>
      <c r="B24" s="37"/>
      <c r="C24" s="37"/>
      <c r="D24" s="37"/>
      <c r="E24" s="37"/>
      <c r="F24" s="37"/>
      <c r="G24" s="37"/>
      <c r="H24" s="37"/>
      <c r="I24" s="37"/>
      <c r="J24" s="357"/>
      <c r="K24" s="357"/>
      <c r="L24" s="37"/>
      <c r="M24" s="37"/>
      <c r="N24" s="37"/>
      <c r="O24" s="335"/>
      <c r="P24" s="378" t="s">
        <v>1544</v>
      </c>
      <c r="Q24" s="406"/>
      <c r="R24" s="378" t="s">
        <v>1423</v>
      </c>
      <c r="S24" s="372"/>
      <c r="T24" s="37"/>
      <c r="U24" s="335"/>
      <c r="V24" s="37"/>
      <c r="W24" s="37"/>
      <c r="X24" s="37"/>
      <c r="Y24" s="37"/>
      <c r="Z24" s="97"/>
      <c r="AA24" s="37"/>
      <c r="AB24" s="37"/>
      <c r="AC24" s="37"/>
      <c r="AD24" s="37"/>
      <c r="AE24" s="37"/>
      <c r="AF24" s="37"/>
      <c r="AG24" s="37"/>
      <c r="AH24" s="37"/>
      <c r="AI24" s="37"/>
      <c r="AJ24" s="37"/>
      <c r="AK24" s="37"/>
      <c r="AL24" s="37"/>
      <c r="AM24" s="37"/>
    </row>
    <row r="25" spans="1:39" ht="15" customHeight="1" x14ac:dyDescent="0.25">
      <c r="A25" s="37"/>
      <c r="B25" s="37"/>
      <c r="C25" s="37"/>
      <c r="D25" s="37"/>
      <c r="E25" s="37"/>
      <c r="F25" s="37"/>
      <c r="G25" s="37"/>
      <c r="H25" s="411">
        <v>1.6917033333333333</v>
      </c>
      <c r="I25" s="37" t="s">
        <v>1199</v>
      </c>
      <c r="J25" s="373"/>
      <c r="K25" s="374"/>
      <c r="L25" s="347"/>
      <c r="M25" s="37"/>
      <c r="N25" s="350"/>
      <c r="O25" s="37"/>
      <c r="P25" s="408">
        <v>2.8631649999999995</v>
      </c>
      <c r="Q25" s="409" t="s">
        <v>1545</v>
      </c>
      <c r="R25" s="407">
        <v>0.80000000000000016</v>
      </c>
      <c r="S25" s="37"/>
      <c r="T25" s="37"/>
      <c r="U25" s="352"/>
      <c r="V25" s="37"/>
      <c r="W25" s="352"/>
      <c r="X25" s="37"/>
      <c r="Y25" s="37"/>
      <c r="Z25" s="422">
        <v>0</v>
      </c>
      <c r="AA25" s="37"/>
      <c r="AB25" s="37"/>
      <c r="AC25" s="375"/>
      <c r="AD25" s="376"/>
      <c r="AE25" s="37"/>
      <c r="AF25" s="37"/>
      <c r="AG25" s="37"/>
      <c r="AH25" s="753"/>
      <c r="AI25" s="405"/>
      <c r="AJ25" s="37"/>
      <c r="AK25" s="37"/>
      <c r="AL25" s="37"/>
      <c r="AM25" s="37"/>
    </row>
    <row r="26" spans="1:39" ht="15" customHeight="1" x14ac:dyDescent="0.25">
      <c r="A26" s="37"/>
      <c r="B26" s="37"/>
      <c r="C26" s="37"/>
      <c r="D26" s="37"/>
      <c r="E26" s="37"/>
      <c r="F26" s="37"/>
      <c r="G26" s="37"/>
      <c r="H26" s="404">
        <f>EdibleFromPlantsValue</f>
        <v>0</v>
      </c>
      <c r="I26" s="404" t="s">
        <v>1549</v>
      </c>
      <c r="J26" s="37"/>
      <c r="K26" s="37"/>
      <c r="L26" s="37"/>
      <c r="M26" s="37"/>
      <c r="N26" s="37"/>
      <c r="O26" s="335"/>
      <c r="P26" s="37"/>
      <c r="Q26" s="37"/>
      <c r="R26" s="368"/>
      <c r="S26" s="37"/>
      <c r="T26" s="37"/>
      <c r="U26" s="362"/>
      <c r="V26" s="37"/>
      <c r="W26" s="37"/>
      <c r="X26" s="37"/>
      <c r="Y26" s="37"/>
      <c r="Z26" s="37"/>
      <c r="AA26" s="37"/>
      <c r="AB26" s="37"/>
      <c r="AC26" s="37"/>
      <c r="AD26" s="37"/>
      <c r="AE26" s="37"/>
      <c r="AF26" s="37"/>
      <c r="AG26" s="37"/>
      <c r="AH26" s="37"/>
      <c r="AI26" s="405"/>
      <c r="AJ26" s="37"/>
      <c r="AK26" s="37"/>
      <c r="AL26" s="37"/>
      <c r="AM26" s="37"/>
    </row>
    <row r="27" spans="1:39" ht="15" customHeight="1" x14ac:dyDescent="0.25">
      <c r="A27" s="37"/>
      <c r="B27" s="37"/>
      <c r="C27" s="37"/>
      <c r="D27" s="37"/>
      <c r="E27" s="37"/>
      <c r="F27" s="37"/>
      <c r="G27" s="37"/>
      <c r="H27" s="408">
        <v>0.78423333333333323</v>
      </c>
      <c r="I27" s="37"/>
      <c r="J27" s="37"/>
      <c r="K27" s="37"/>
      <c r="L27" s="37"/>
      <c r="M27" s="37"/>
      <c r="N27" s="37"/>
      <c r="O27" s="336"/>
      <c r="P27" s="37"/>
      <c r="Q27" s="334">
        <v>0.80000000000000016</v>
      </c>
      <c r="R27" s="368"/>
      <c r="S27" s="37"/>
      <c r="T27" s="37"/>
      <c r="U27" s="37"/>
      <c r="V27" s="37"/>
      <c r="W27" s="37"/>
      <c r="X27" s="37"/>
      <c r="Y27" s="37"/>
      <c r="Z27" s="334">
        <v>0</v>
      </c>
      <c r="AA27" s="37"/>
      <c r="AB27" s="362"/>
      <c r="AC27" s="37"/>
      <c r="AD27" s="37"/>
      <c r="AE27" s="37"/>
      <c r="AF27" s="37"/>
      <c r="AG27" s="37"/>
      <c r="AH27" s="37"/>
      <c r="AI27" s="37"/>
      <c r="AJ27" s="37"/>
      <c r="AK27" s="37"/>
      <c r="AL27" s="37"/>
      <c r="AM27" s="37"/>
    </row>
    <row r="28" spans="1:39" ht="15" customHeight="1" x14ac:dyDescent="0.25">
      <c r="A28" s="37"/>
      <c r="B28" s="37"/>
      <c r="C28" s="37"/>
      <c r="D28" s="37"/>
      <c r="E28" s="37"/>
      <c r="F28" s="37"/>
      <c r="G28" s="767" t="s">
        <v>1545</v>
      </c>
      <c r="H28" s="422">
        <v>0</v>
      </c>
      <c r="I28" s="404" t="s">
        <v>1549</v>
      </c>
      <c r="J28" s="37"/>
      <c r="K28" s="37"/>
      <c r="L28" s="37"/>
      <c r="M28" s="37"/>
      <c r="N28" s="37"/>
      <c r="O28" s="377"/>
      <c r="P28" s="37"/>
      <c r="Q28" s="37"/>
      <c r="R28" s="37"/>
      <c r="S28" s="37"/>
      <c r="T28" s="37"/>
      <c r="U28" s="37"/>
      <c r="V28" s="37"/>
      <c r="W28" s="37"/>
      <c r="X28" s="37"/>
      <c r="Y28" s="37"/>
      <c r="Z28" s="37"/>
      <c r="AA28" s="37"/>
      <c r="AB28" s="37"/>
      <c r="AC28" s="37"/>
      <c r="AD28" s="37"/>
      <c r="AE28" s="37"/>
      <c r="AF28" s="37"/>
      <c r="AG28" s="37"/>
      <c r="AH28" s="37"/>
      <c r="AI28" s="37"/>
      <c r="AJ28" s="37"/>
      <c r="AK28" s="37"/>
      <c r="AL28" s="37"/>
      <c r="AM28" s="37"/>
    </row>
    <row r="29" spans="1:39" ht="15" customHeight="1" x14ac:dyDescent="0.25">
      <c r="A29" s="37"/>
      <c r="B29" s="37"/>
      <c r="C29" s="37"/>
      <c r="D29" s="37"/>
      <c r="E29" s="37"/>
      <c r="F29" s="37"/>
      <c r="G29" s="37"/>
      <c r="H29" s="37"/>
      <c r="I29" s="37"/>
      <c r="J29" s="37"/>
      <c r="K29" s="97"/>
      <c r="L29" s="37"/>
      <c r="M29" s="819">
        <v>1.6589999999999998</v>
      </c>
      <c r="N29" s="819"/>
      <c r="O29" s="377"/>
      <c r="P29" s="99">
        <v>0.14788400000000002</v>
      </c>
      <c r="Q29" s="37" t="s">
        <v>801</v>
      </c>
      <c r="R29" s="827">
        <v>0</v>
      </c>
      <c r="S29" s="828"/>
      <c r="T29" s="37"/>
      <c r="U29" s="811">
        <v>1.8048000000000002</v>
      </c>
      <c r="V29" s="811"/>
      <c r="W29" s="37"/>
      <c r="X29" s="37"/>
      <c r="Y29" s="37"/>
      <c r="Z29" s="37"/>
      <c r="AA29" s="37"/>
      <c r="AB29" s="37"/>
      <c r="AC29" s="37"/>
      <c r="AD29" s="37"/>
      <c r="AE29" s="37"/>
      <c r="AF29" s="37"/>
      <c r="AG29" s="37"/>
      <c r="AH29" s="37"/>
      <c r="AI29" s="37"/>
      <c r="AJ29" s="37"/>
      <c r="AK29" s="37"/>
      <c r="AL29" s="37"/>
      <c r="AM29" s="37"/>
    </row>
    <row r="30" spans="1:39" ht="15" customHeight="1" x14ac:dyDescent="0.25">
      <c r="A30" s="37"/>
      <c r="B30" s="37"/>
      <c r="C30" s="37"/>
      <c r="D30" s="37"/>
      <c r="E30" s="37"/>
      <c r="F30" s="37"/>
      <c r="G30" s="37"/>
      <c r="H30" s="422">
        <v>1.6589999999999998</v>
      </c>
      <c r="I30" s="37"/>
      <c r="J30" s="355"/>
      <c r="K30" s="37"/>
      <c r="L30" s="37"/>
      <c r="M30" s="37"/>
      <c r="N30" s="37"/>
      <c r="O30" s="37"/>
      <c r="P30" s="404">
        <v>0</v>
      </c>
      <c r="Q30" s="404" t="s">
        <v>1543</v>
      </c>
      <c r="R30" s="334"/>
      <c r="S30" s="334"/>
      <c r="T30" s="37"/>
      <c r="U30" s="379"/>
      <c r="V30" s="37"/>
      <c r="W30" s="37"/>
      <c r="X30" s="37"/>
      <c r="Y30" s="37"/>
      <c r="Z30" s="380"/>
      <c r="AA30" s="37"/>
      <c r="AB30" s="37"/>
      <c r="AC30" s="37"/>
      <c r="AD30" s="37"/>
      <c r="AE30" s="405">
        <v>0</v>
      </c>
      <c r="AF30" s="405" t="s">
        <v>2002</v>
      </c>
      <c r="AG30" s="37"/>
      <c r="AH30" s="37"/>
      <c r="AI30" s="37"/>
      <c r="AJ30" s="37"/>
      <c r="AK30" s="37"/>
      <c r="AL30" s="37"/>
      <c r="AM30" s="37"/>
    </row>
    <row r="31" spans="1:39" ht="15" customHeight="1" x14ac:dyDescent="0.25">
      <c r="A31" s="37"/>
      <c r="B31" s="37"/>
      <c r="C31" s="37"/>
      <c r="D31" s="820" t="s">
        <v>1547</v>
      </c>
      <c r="E31" s="821"/>
      <c r="F31" s="37"/>
      <c r="G31" s="37"/>
      <c r="H31" s="37"/>
      <c r="I31" s="37"/>
      <c r="J31" s="37"/>
      <c r="K31" s="37"/>
      <c r="L31" s="37"/>
      <c r="M31" s="37"/>
      <c r="N31" s="37"/>
      <c r="O31" s="350"/>
      <c r="P31" s="815">
        <v>0</v>
      </c>
      <c r="Q31" s="830">
        <v>1.456</v>
      </c>
      <c r="R31" s="37"/>
      <c r="S31" s="358"/>
      <c r="T31" s="37"/>
      <c r="U31" s="382"/>
      <c r="V31" s="37"/>
      <c r="W31" s="37"/>
      <c r="X31" s="37"/>
      <c r="Y31" s="37"/>
      <c r="Z31" s="351"/>
      <c r="AA31" s="37"/>
      <c r="AB31" s="37"/>
      <c r="AC31" s="37"/>
      <c r="AD31" s="383"/>
      <c r="AE31" s="37"/>
      <c r="AF31" s="37"/>
      <c r="AG31" s="37"/>
      <c r="AH31" s="37"/>
      <c r="AI31" s="37"/>
      <c r="AJ31" s="37"/>
      <c r="AK31" s="37"/>
      <c r="AL31" s="37"/>
      <c r="AM31" s="37"/>
    </row>
    <row r="32" spans="1:39" ht="15" customHeight="1" x14ac:dyDescent="0.25">
      <c r="A32" s="37"/>
      <c r="B32" s="37"/>
      <c r="C32" s="37"/>
      <c r="D32" s="821"/>
      <c r="E32" s="821"/>
      <c r="F32" s="37"/>
      <c r="G32" s="37"/>
      <c r="H32" s="37"/>
      <c r="I32" s="384"/>
      <c r="J32" s="385"/>
      <c r="K32" s="37"/>
      <c r="L32" s="37"/>
      <c r="M32" s="37"/>
      <c r="N32" s="37"/>
      <c r="O32" s="37"/>
      <c r="P32" s="830"/>
      <c r="Q32" s="830"/>
      <c r="R32" s="37"/>
      <c r="S32" s="37"/>
      <c r="T32" s="37"/>
      <c r="U32" s="37"/>
      <c r="V32" s="37"/>
      <c r="W32" s="386"/>
      <c r="X32" s="37"/>
      <c r="Y32" s="37"/>
      <c r="Z32" s="37"/>
      <c r="AA32" s="37"/>
      <c r="AB32" s="37"/>
      <c r="AC32" s="37"/>
      <c r="AD32" s="37"/>
      <c r="AE32" s="37"/>
      <c r="AF32" s="37"/>
      <c r="AG32" s="37"/>
      <c r="AH32" s="37"/>
      <c r="AI32" s="37"/>
      <c r="AJ32" s="37"/>
      <c r="AK32" s="37"/>
      <c r="AL32" s="37"/>
      <c r="AM32" s="37"/>
    </row>
    <row r="33" spans="1:39" ht="15" customHeight="1" x14ac:dyDescent="0.25">
      <c r="A33" s="37"/>
      <c r="B33" s="804">
        <v>0</v>
      </c>
      <c r="C33" s="811"/>
      <c r="D33" s="804">
        <v>0</v>
      </c>
      <c r="E33" s="818"/>
      <c r="F33" s="37"/>
      <c r="G33" s="37"/>
      <c r="H33" s="37"/>
      <c r="I33" s="337"/>
      <c r="J33" s="37"/>
      <c r="K33" s="37"/>
      <c r="L33" s="37"/>
      <c r="M33" s="387"/>
      <c r="N33" s="37"/>
      <c r="O33" s="37"/>
      <c r="P33" s="37"/>
      <c r="Q33" s="37"/>
      <c r="R33" s="37"/>
      <c r="S33" s="37"/>
      <c r="T33" s="37"/>
      <c r="U33" s="37"/>
      <c r="V33" s="37"/>
      <c r="W33" s="37"/>
      <c r="X33" s="37"/>
      <c r="Y33" s="37"/>
      <c r="Z33" s="37"/>
      <c r="AA33" s="37"/>
      <c r="AB33" s="37"/>
      <c r="AC33" s="37"/>
      <c r="AD33" s="99"/>
      <c r="AE33" s="37"/>
      <c r="AF33" s="99"/>
      <c r="AG33" s="37"/>
      <c r="AH33" s="37"/>
      <c r="AI33" s="37"/>
      <c r="AJ33" s="37"/>
      <c r="AK33" s="37"/>
      <c r="AL33" s="37"/>
      <c r="AM33" s="37"/>
    </row>
    <row r="34" spans="1:39" ht="15" customHeight="1" x14ac:dyDescent="0.25">
      <c r="A34" s="37"/>
      <c r="B34" s="811"/>
      <c r="C34" s="811"/>
      <c r="D34" s="731" t="s">
        <v>1657</v>
      </c>
      <c r="F34" s="37"/>
      <c r="G34" s="37"/>
      <c r="H34" s="37"/>
      <c r="I34" s="37"/>
      <c r="J34" s="37"/>
      <c r="K34" s="37"/>
      <c r="L34" s="37"/>
      <c r="M34" s="37"/>
      <c r="N34" s="37"/>
      <c r="O34" s="335"/>
      <c r="P34" s="37"/>
      <c r="Q34" s="37"/>
      <c r="R34" s="37"/>
      <c r="U34" s="388"/>
      <c r="V34" s="37"/>
      <c r="W34" s="37"/>
      <c r="X34" s="768">
        <v>0</v>
      </c>
      <c r="Y34" s="37"/>
      <c r="Z34" s="37"/>
      <c r="AA34" s="37"/>
      <c r="AB34" s="37"/>
      <c r="AC34" s="37"/>
      <c r="AD34" s="388"/>
      <c r="AE34" s="358"/>
      <c r="AF34" s="37"/>
      <c r="AG34" s="37"/>
      <c r="AH34" s="37"/>
      <c r="AI34" s="37"/>
      <c r="AJ34" s="404">
        <v>0</v>
      </c>
      <c r="AK34" s="736" t="s">
        <v>2002</v>
      </c>
      <c r="AL34" s="37"/>
      <c r="AM34" s="37"/>
    </row>
    <row r="35" spans="1:39" ht="15" customHeight="1" x14ac:dyDescent="0.25">
      <c r="A35" s="37"/>
      <c r="B35" s="37"/>
      <c r="C35" s="37"/>
      <c r="D35" s="804">
        <v>0</v>
      </c>
      <c r="E35" s="811"/>
      <c r="F35" s="37"/>
      <c r="G35" s="37"/>
      <c r="H35" s="37"/>
      <c r="I35" s="37"/>
      <c r="J35" s="37"/>
      <c r="K35" s="37"/>
      <c r="L35" s="37"/>
      <c r="M35" s="819">
        <v>0.20299999999999999</v>
      </c>
      <c r="N35" s="819"/>
      <c r="O35" s="336"/>
      <c r="P35" s="404">
        <v>0</v>
      </c>
      <c r="Q35" s="404" t="s">
        <v>1546</v>
      </c>
      <c r="R35" s="37"/>
      <c r="T35" s="813">
        <v>0.45120000000000005</v>
      </c>
      <c r="U35" s="814"/>
      <c r="V35" s="405" t="s">
        <v>1550</v>
      </c>
      <c r="W35" s="37"/>
      <c r="X35" s="37"/>
      <c r="Y35" s="37"/>
      <c r="Z35" s="37"/>
      <c r="AC35" s="37"/>
      <c r="AD35" s="37"/>
      <c r="AE35" s="37"/>
      <c r="AF35" s="37"/>
      <c r="AG35" s="37"/>
      <c r="AH35" s="37"/>
      <c r="AI35" s="37"/>
      <c r="AJ35" s="37"/>
      <c r="AK35" s="37"/>
      <c r="AL35" s="37"/>
      <c r="AM35" s="37"/>
    </row>
    <row r="36" spans="1:39" ht="15" customHeight="1" x14ac:dyDescent="0.25">
      <c r="A36" s="37"/>
      <c r="B36" s="37"/>
      <c r="C36" s="37"/>
      <c r="D36" s="37"/>
      <c r="E36" s="37"/>
      <c r="F36" s="37"/>
      <c r="G36" s="37"/>
      <c r="H36" s="37"/>
      <c r="I36" s="408">
        <v>0.1152</v>
      </c>
      <c r="J36" s="334"/>
      <c r="K36" s="37"/>
      <c r="L36" s="37"/>
      <c r="M36" s="37"/>
      <c r="N36" s="37"/>
      <c r="O36" s="336"/>
      <c r="P36" s="37"/>
      <c r="Q36" s="37"/>
      <c r="R36" s="37"/>
      <c r="S36" s="37"/>
      <c r="T36" s="37"/>
      <c r="U36" s="37"/>
      <c r="V36" s="37"/>
      <c r="W36" s="37"/>
      <c r="X36" s="37"/>
      <c r="Y36" s="37"/>
      <c r="Z36" s="37"/>
      <c r="AC36" s="37"/>
      <c r="AD36" s="37"/>
      <c r="AE36" s="37"/>
      <c r="AF36" s="37"/>
      <c r="AG36" s="37"/>
      <c r="AH36" s="37"/>
      <c r="AI36" s="37"/>
      <c r="AJ36" s="37"/>
      <c r="AK36" s="37"/>
      <c r="AL36" s="37"/>
      <c r="AM36" s="37"/>
    </row>
    <row r="37" spans="1:39" ht="15" customHeight="1" x14ac:dyDescent="0.25">
      <c r="A37" s="37"/>
      <c r="B37" s="37"/>
      <c r="C37" s="37"/>
      <c r="D37" s="37"/>
      <c r="E37" s="37"/>
      <c r="F37" s="37"/>
      <c r="G37" s="37"/>
      <c r="I37" s="37"/>
      <c r="J37" s="37"/>
      <c r="K37" s="97"/>
      <c r="L37" s="37"/>
      <c r="M37" s="37"/>
      <c r="N37" s="37"/>
      <c r="O37" s="336"/>
      <c r="P37" s="37"/>
      <c r="Q37" s="37"/>
      <c r="R37" s="37"/>
      <c r="S37" s="37"/>
      <c r="T37" s="37"/>
      <c r="U37" s="37"/>
      <c r="V37" s="37"/>
      <c r="W37" s="37"/>
      <c r="X37" s="37"/>
      <c r="Y37" s="37"/>
      <c r="Z37" s="37"/>
      <c r="AC37" s="37"/>
      <c r="AD37" s="37"/>
      <c r="AE37" s="37"/>
      <c r="AF37" s="37"/>
      <c r="AG37" s="37"/>
      <c r="AH37" s="37"/>
      <c r="AI37" s="37"/>
      <c r="AJ37" s="37"/>
      <c r="AK37" s="37"/>
      <c r="AL37" s="37"/>
      <c r="AM37" s="37"/>
    </row>
    <row r="38" spans="1:39" ht="15" customHeight="1" x14ac:dyDescent="0.25">
      <c r="A38" s="37"/>
      <c r="B38" s="37"/>
      <c r="C38" s="807" t="s">
        <v>1693</v>
      </c>
      <c r="D38" s="808"/>
      <c r="E38" s="808"/>
      <c r="F38" s="37"/>
      <c r="G38" s="37"/>
      <c r="H38" s="37"/>
      <c r="I38" s="37"/>
      <c r="J38" s="389"/>
      <c r="K38" s="37"/>
      <c r="L38" s="37"/>
      <c r="M38" s="37"/>
      <c r="N38" s="37"/>
      <c r="O38" s="336"/>
      <c r="P38" s="37"/>
      <c r="Q38" s="37"/>
      <c r="R38" s="37"/>
      <c r="S38" s="37"/>
      <c r="T38" s="37"/>
      <c r="U38" s="37"/>
      <c r="V38" s="37"/>
      <c r="W38" s="37"/>
      <c r="X38" s="37"/>
      <c r="Y38" s="37"/>
      <c r="Z38" s="37"/>
      <c r="AA38" s="37"/>
      <c r="AB38" s="37"/>
      <c r="AC38" s="37"/>
      <c r="AD38" s="37"/>
      <c r="AE38" s="37"/>
      <c r="AF38" s="37"/>
      <c r="AG38" s="37"/>
      <c r="AH38" s="37"/>
      <c r="AI38" s="37"/>
      <c r="AJ38" s="37"/>
      <c r="AK38" s="37"/>
      <c r="AL38" s="37"/>
      <c r="AM38" s="37"/>
    </row>
    <row r="39" spans="1:39" ht="15" customHeight="1" thickBot="1" x14ac:dyDescent="0.3">
      <c r="A39" s="37"/>
      <c r="B39" s="37"/>
      <c r="C39" s="808"/>
      <c r="D39" s="808"/>
      <c r="E39" s="808"/>
      <c r="F39" s="37"/>
      <c r="G39" s="37"/>
      <c r="H39" s="37"/>
      <c r="I39" s="804">
        <v>0</v>
      </c>
      <c r="J39" s="805"/>
      <c r="K39" s="390"/>
      <c r="L39" s="37"/>
      <c r="M39" s="37"/>
      <c r="N39" s="37"/>
      <c r="O39" s="336"/>
      <c r="P39" s="803">
        <v>8.7799999999999989E-2</v>
      </c>
      <c r="Q39" s="405" t="s">
        <v>1550</v>
      </c>
      <c r="R39" s="37"/>
      <c r="S39" s="37"/>
      <c r="T39" s="37"/>
      <c r="U39" s="37"/>
      <c r="V39" s="37"/>
      <c r="W39" s="37"/>
      <c r="X39" s="37"/>
      <c r="Y39" s="37"/>
      <c r="Z39" s="37"/>
      <c r="AA39" s="37"/>
      <c r="AC39" s="37"/>
      <c r="AD39" s="37"/>
      <c r="AF39" s="37"/>
      <c r="AG39" s="37"/>
      <c r="AH39" s="37"/>
      <c r="AI39" s="37"/>
      <c r="AJ39" s="37"/>
      <c r="AK39" s="37"/>
      <c r="AL39" s="37"/>
      <c r="AM39" s="37"/>
    </row>
    <row r="40" spans="1:39" ht="15" customHeight="1" x14ac:dyDescent="0.25">
      <c r="A40" s="37"/>
      <c r="B40" s="37"/>
      <c r="C40" s="37"/>
      <c r="D40" s="804">
        <v>0</v>
      </c>
      <c r="E40" s="806"/>
      <c r="F40" s="37"/>
      <c r="G40" s="37"/>
      <c r="H40" s="358"/>
      <c r="I40" s="37"/>
      <c r="J40" s="37"/>
      <c r="K40" s="37"/>
      <c r="L40" s="37"/>
      <c r="M40" s="37"/>
      <c r="N40" s="37"/>
      <c r="O40" s="391"/>
      <c r="P40" s="37"/>
      <c r="Q40" s="37"/>
      <c r="R40" s="37"/>
      <c r="S40" s="37"/>
      <c r="T40" s="37"/>
      <c r="U40" s="37"/>
      <c r="V40" s="37"/>
      <c r="W40" s="37"/>
      <c r="X40" s="37"/>
      <c r="Y40" s="37"/>
      <c r="Z40" s="37"/>
      <c r="AA40" s="393" t="s">
        <v>1512</v>
      </c>
      <c r="AB40" s="321"/>
      <c r="AC40" s="394" t="s">
        <v>1514</v>
      </c>
      <c r="AD40" s="394"/>
      <c r="AE40" s="394"/>
      <c r="AF40" s="394"/>
      <c r="AG40" s="394"/>
      <c r="AH40" s="394"/>
      <c r="AI40" s="395"/>
      <c r="AJ40" s="37"/>
      <c r="AK40" s="37"/>
      <c r="AL40" s="37"/>
      <c r="AM40" s="37"/>
    </row>
    <row r="41" spans="1:39" ht="15" customHeight="1" x14ac:dyDescent="0.35">
      <c r="A41" s="37"/>
      <c r="B41" s="37"/>
      <c r="C41" s="37"/>
      <c r="D41" s="37"/>
      <c r="E41" s="37"/>
      <c r="F41" s="37"/>
      <c r="G41" s="37"/>
      <c r="H41" s="37"/>
      <c r="I41" s="37"/>
      <c r="J41" s="99">
        <f>H25*0.25/1.51</f>
        <v>0.28008333333333335</v>
      </c>
      <c r="K41" s="37" t="s">
        <v>1509</v>
      </c>
      <c r="L41" s="37"/>
      <c r="M41" s="37"/>
      <c r="N41" s="37"/>
      <c r="O41" s="336"/>
      <c r="P41" s="37"/>
      <c r="Q41" s="37"/>
      <c r="R41" s="37"/>
      <c r="S41" s="37"/>
      <c r="T41" s="37"/>
      <c r="U41" s="37"/>
      <c r="V41" s="37"/>
      <c r="W41" s="37"/>
      <c r="X41" s="37"/>
      <c r="Y41" s="37"/>
      <c r="Z41" s="37"/>
      <c r="AA41" s="124"/>
      <c r="AB41" s="334" t="s">
        <v>2010</v>
      </c>
      <c r="AC41" s="37"/>
      <c r="AD41" s="37"/>
      <c r="AE41" s="381" t="s">
        <v>1510</v>
      </c>
      <c r="AF41" s="37"/>
      <c r="AG41" s="37"/>
      <c r="AH41" s="37"/>
      <c r="AI41" s="396" t="s">
        <v>1513</v>
      </c>
      <c r="AJ41" s="37"/>
      <c r="AK41" s="37"/>
      <c r="AL41" s="37"/>
      <c r="AM41" s="37"/>
    </row>
    <row r="42" spans="1:39" ht="15" customHeight="1" x14ac:dyDescent="0.3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124"/>
      <c r="AB42" s="329" t="s">
        <v>2011</v>
      </c>
      <c r="AC42" s="37"/>
      <c r="AD42" s="37"/>
      <c r="AE42" s="392" t="s">
        <v>2013</v>
      </c>
      <c r="AF42" s="37"/>
      <c r="AG42" s="37"/>
      <c r="AH42" s="37"/>
      <c r="AI42" s="396"/>
      <c r="AJ42" s="37"/>
      <c r="AK42" s="37"/>
      <c r="AL42" s="37"/>
      <c r="AM42" s="37"/>
    </row>
    <row r="43" spans="1:39" ht="15" customHeight="1" thickBot="1" x14ac:dyDescent="0.4">
      <c r="A43" s="37"/>
      <c r="B43" s="37"/>
      <c r="C43" s="37"/>
      <c r="D43" s="37"/>
      <c r="E43" s="37"/>
      <c r="F43" s="37"/>
      <c r="G43" s="37"/>
      <c r="H43" s="37"/>
      <c r="I43" s="37"/>
      <c r="J43" s="37"/>
      <c r="K43" s="37"/>
      <c r="L43" s="37"/>
      <c r="M43" s="37"/>
      <c r="N43" s="37"/>
      <c r="O43" s="37"/>
      <c r="P43" s="37"/>
      <c r="Q43" s="37"/>
      <c r="R43" s="37"/>
      <c r="S43" s="37"/>
      <c r="T43" s="37"/>
      <c r="U43" s="37"/>
      <c r="V43" s="37"/>
      <c r="W43" s="37"/>
      <c r="X43" s="37"/>
      <c r="Y43" s="37"/>
      <c r="Z43" s="37"/>
      <c r="AA43" s="125"/>
      <c r="AB43" s="397" t="s">
        <v>2012</v>
      </c>
      <c r="AC43" s="398"/>
      <c r="AD43" s="398"/>
      <c r="AE43" s="399" t="s">
        <v>1511</v>
      </c>
      <c r="AF43" s="398"/>
      <c r="AG43" s="398"/>
      <c r="AH43" s="398"/>
      <c r="AI43" s="400"/>
      <c r="AJ43" s="37"/>
      <c r="AK43" s="37"/>
      <c r="AL43" s="37"/>
      <c r="AM43" s="37"/>
    </row>
    <row r="44" spans="1:39" ht="15.75" hidden="1" thickBot="1" x14ac:dyDescent="0.3">
      <c r="A44" s="37"/>
      <c r="B44" s="37"/>
      <c r="C44" s="37"/>
      <c r="D44" s="37"/>
      <c r="E44" s="37"/>
      <c r="F44" s="37"/>
      <c r="G44" s="37"/>
      <c r="H44" s="37"/>
      <c r="J44" s="37"/>
      <c r="K44" s="37"/>
      <c r="L44" s="37"/>
      <c r="M44" s="37"/>
      <c r="N44" s="37"/>
      <c r="O44" s="37"/>
      <c r="P44" s="37"/>
      <c r="Q44" s="37"/>
      <c r="R44" s="37"/>
      <c r="S44" s="37"/>
      <c r="T44" s="37"/>
      <c r="U44" s="37"/>
      <c r="V44" s="37"/>
      <c r="W44" s="37"/>
      <c r="X44" s="37"/>
      <c r="Y44" s="37"/>
      <c r="Z44" s="37"/>
      <c r="AA44" s="37"/>
      <c r="AB44" s="37"/>
      <c r="AC44" s="37"/>
      <c r="AD44" s="37"/>
      <c r="AE44" s="37"/>
      <c r="AF44" s="37"/>
      <c r="AG44" s="398"/>
      <c r="AH44" s="37"/>
      <c r="AI44" s="37"/>
      <c r="AJ44" s="37"/>
      <c r="AK44" s="37"/>
      <c r="AL44" s="37"/>
      <c r="AM44" s="37"/>
    </row>
    <row r="45" spans="1:39" hidden="1" x14ac:dyDescent="0.25">
      <c r="A45" s="37"/>
      <c r="B45" s="37"/>
      <c r="C45" s="37"/>
      <c r="D45" s="37"/>
      <c r="E45" s="37"/>
      <c r="F45" s="37"/>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c r="AI45" s="37"/>
      <c r="AJ45" s="37"/>
      <c r="AK45" s="37"/>
      <c r="AL45" s="37"/>
      <c r="AM45" s="37"/>
    </row>
    <row r="46" spans="1:39" hidden="1"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row>
    <row r="47" spans="1:39" hidden="1" x14ac:dyDescent="0.25">
      <c r="A47" s="37"/>
      <c r="B47" s="37"/>
      <c r="C47" s="37"/>
      <c r="D47" s="37"/>
      <c r="E47" s="37"/>
      <c r="F47" s="37"/>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c r="AI47" s="37"/>
      <c r="AJ47" s="37"/>
      <c r="AK47" s="37"/>
      <c r="AL47" s="37"/>
      <c r="AM47" s="37"/>
    </row>
    <row r="48" spans="1:39" hidden="1" x14ac:dyDescent="0.25">
      <c r="A48" s="37"/>
      <c r="B48" s="37"/>
      <c r="C48" s="37"/>
      <c r="D48" s="37"/>
      <c r="E48" s="37"/>
      <c r="F48" s="37"/>
      <c r="G48" s="37"/>
      <c r="H48" s="37"/>
      <c r="I48" s="37"/>
      <c r="J48" s="37"/>
      <c r="K48" s="37"/>
      <c r="L48" s="37"/>
      <c r="M48" s="37"/>
      <c r="N48" s="37"/>
      <c r="O48" s="37"/>
      <c r="P48" s="37"/>
      <c r="Q48" s="37"/>
      <c r="R48" s="37"/>
      <c r="S48" s="37"/>
      <c r="T48" s="37"/>
      <c r="U48" s="37"/>
      <c r="V48" s="37"/>
      <c r="W48" s="37"/>
      <c r="X48" s="37"/>
      <c r="Y48" s="37"/>
      <c r="Z48" s="37"/>
      <c r="AA48" s="37"/>
      <c r="AB48" s="37"/>
      <c r="AC48" s="37"/>
      <c r="AD48" s="37"/>
      <c r="AE48" s="37"/>
      <c r="AF48" s="37"/>
      <c r="AG48" s="37"/>
      <c r="AH48" s="37"/>
      <c r="AI48" s="37"/>
      <c r="AJ48" s="37"/>
      <c r="AK48" s="37"/>
      <c r="AL48" s="37"/>
      <c r="AM48" s="37"/>
    </row>
    <row r="49" spans="1:39" hidden="1" x14ac:dyDescent="0.25">
      <c r="A49" s="37"/>
      <c r="B49" s="37"/>
      <c r="C49" s="37"/>
      <c r="D49" s="37"/>
      <c r="E49" s="37"/>
      <c r="F49" s="37"/>
      <c r="G49" s="37"/>
      <c r="H49" s="37"/>
      <c r="I49" s="37"/>
      <c r="J49" s="37"/>
      <c r="K49" s="37"/>
      <c r="L49" s="37"/>
      <c r="M49" s="37"/>
      <c r="N49" s="37"/>
      <c r="O49" s="37"/>
      <c r="P49" s="37"/>
      <c r="Q49" s="37"/>
      <c r="R49" s="37"/>
      <c r="S49" s="37"/>
      <c r="T49" s="37"/>
      <c r="U49" s="37"/>
      <c r="V49" s="37"/>
      <c r="W49" s="37"/>
      <c r="X49" s="37"/>
      <c r="Y49" s="37"/>
      <c r="Z49" s="37"/>
      <c r="AA49" s="37"/>
      <c r="AB49" s="37"/>
      <c r="AC49" s="37"/>
      <c r="AD49" s="37"/>
      <c r="AE49" s="37"/>
      <c r="AF49" s="37"/>
      <c r="AG49" s="37"/>
      <c r="AH49" s="37"/>
      <c r="AI49" s="37"/>
      <c r="AJ49" s="37"/>
      <c r="AK49" s="37"/>
      <c r="AL49" s="37"/>
      <c r="AM49" s="37"/>
    </row>
    <row r="50" spans="1:39" hidden="1" x14ac:dyDescent="0.25">
      <c r="A50" s="37"/>
      <c r="B50" s="37"/>
      <c r="C50" s="37"/>
      <c r="D50" s="37"/>
      <c r="E50" s="37"/>
      <c r="F50" s="37"/>
      <c r="G50" s="37"/>
      <c r="H50" s="37"/>
      <c r="I50" s="37"/>
      <c r="J50" s="37"/>
      <c r="K50" s="37"/>
      <c r="L50" s="37"/>
      <c r="M50" s="37"/>
      <c r="N50" s="37"/>
      <c r="O50" s="37"/>
      <c r="P50" s="37"/>
      <c r="Q50" s="37"/>
      <c r="R50" s="37"/>
      <c r="S50" s="37"/>
      <c r="T50" s="37"/>
      <c r="U50" s="37"/>
      <c r="V50" s="37"/>
      <c r="W50" s="37"/>
      <c r="X50" s="37"/>
      <c r="Y50" s="37"/>
      <c r="Z50" s="37"/>
      <c r="AA50" s="37"/>
      <c r="AB50" s="37"/>
      <c r="AC50" s="37"/>
      <c r="AD50" s="37"/>
      <c r="AE50" s="37"/>
      <c r="AF50" s="37"/>
      <c r="AG50" s="37"/>
      <c r="AH50" s="37"/>
      <c r="AI50" s="37"/>
      <c r="AJ50" s="37"/>
      <c r="AK50" s="37"/>
      <c r="AL50" s="37"/>
      <c r="AM50" s="37"/>
    </row>
    <row r="51" spans="1:39" hidden="1" x14ac:dyDescent="0.25">
      <c r="A51" s="37"/>
      <c r="B51" s="37"/>
      <c r="C51" s="37"/>
      <c r="D51" s="37"/>
      <c r="E51" s="37"/>
      <c r="F51" s="37"/>
      <c r="G51" s="37"/>
      <c r="H51" s="37"/>
      <c r="I51" s="37"/>
      <c r="J51" s="37"/>
      <c r="K51" s="37"/>
      <c r="L51" s="37"/>
      <c r="M51" s="37"/>
      <c r="N51" s="37"/>
      <c r="O51" s="37"/>
      <c r="P51" s="37"/>
      <c r="Q51" s="37"/>
      <c r="R51" s="37"/>
      <c r="S51" s="37"/>
      <c r="T51" s="37"/>
      <c r="U51" s="37"/>
      <c r="V51" s="37"/>
      <c r="W51" s="37"/>
      <c r="X51" s="37"/>
      <c r="Y51" s="37"/>
      <c r="Z51" s="37"/>
      <c r="AA51" s="37"/>
      <c r="AB51" s="37"/>
      <c r="AC51" s="37"/>
      <c r="AD51" s="37"/>
      <c r="AE51" s="37"/>
      <c r="AF51" s="37"/>
      <c r="AG51" s="37"/>
      <c r="AH51" s="37"/>
      <c r="AI51" s="37"/>
      <c r="AJ51" s="37"/>
      <c r="AK51" s="37"/>
      <c r="AL51" s="37"/>
      <c r="AM51" s="37"/>
    </row>
    <row r="52" spans="1:39" hidden="1" x14ac:dyDescent="0.25">
      <c r="A52" s="37"/>
      <c r="B52" s="37"/>
      <c r="C52" s="37"/>
      <c r="D52" s="37"/>
      <c r="E52" s="37"/>
      <c r="F52" s="37"/>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row>
    <row r="53" spans="1:39" hidden="1" x14ac:dyDescent="0.25">
      <c r="A53" s="37"/>
      <c r="B53" s="37"/>
      <c r="C53" s="37"/>
      <c r="D53" s="37"/>
      <c r="E53" s="37"/>
      <c r="F53" s="37"/>
      <c r="G53" s="37"/>
      <c r="H53" s="37"/>
      <c r="I53" s="37"/>
      <c r="J53" s="37"/>
      <c r="K53" s="37"/>
      <c r="L53" s="37"/>
      <c r="M53" s="37"/>
      <c r="N53" s="37"/>
      <c r="O53" s="37"/>
      <c r="P53" s="37"/>
      <c r="Q53" s="37"/>
      <c r="R53" s="37"/>
      <c r="S53" s="37"/>
      <c r="T53" s="37"/>
      <c r="U53" s="37"/>
      <c r="V53" s="37"/>
      <c r="W53" s="37"/>
      <c r="X53" s="37"/>
      <c r="Y53" s="37"/>
      <c r="Z53" s="37"/>
      <c r="AA53" s="37"/>
      <c r="AB53" s="37"/>
      <c r="AC53" s="37"/>
      <c r="AD53" s="37"/>
      <c r="AE53" s="37"/>
      <c r="AF53" s="37"/>
      <c r="AG53" s="37"/>
      <c r="AH53" s="37"/>
      <c r="AI53" s="37"/>
      <c r="AJ53" s="37"/>
      <c r="AK53" s="37"/>
      <c r="AL53" s="37"/>
      <c r="AM53" s="37"/>
    </row>
    <row r="54" spans="1:39" hidden="1" x14ac:dyDescent="0.25">
      <c r="A54" s="37"/>
      <c r="B54" s="37"/>
      <c r="C54" s="37"/>
      <c r="D54" s="37"/>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row>
    <row r="55" spans="1:39" hidden="1" x14ac:dyDescent="0.25">
      <c r="A55" s="37"/>
      <c r="B55" s="37"/>
      <c r="C55" s="37"/>
      <c r="D55" s="37"/>
      <c r="E55" s="37"/>
      <c r="F55" s="37"/>
      <c r="G55" s="37"/>
      <c r="H55" s="37"/>
      <c r="I55" s="37"/>
      <c r="J55" s="37"/>
      <c r="K55" s="37"/>
      <c r="L55" s="37"/>
      <c r="M55" s="37"/>
      <c r="N55" s="37"/>
      <c r="O55" s="37"/>
      <c r="P55" s="37"/>
      <c r="Q55" s="37"/>
      <c r="R55" s="37"/>
      <c r="S55" s="37"/>
      <c r="T55" s="37"/>
      <c r="U55" s="37"/>
      <c r="V55" s="37"/>
      <c r="W55" s="37"/>
      <c r="X55" s="37"/>
      <c r="Y55" s="37"/>
      <c r="Z55" s="37"/>
      <c r="AA55" s="37"/>
      <c r="AB55" s="37"/>
      <c r="AC55" s="37"/>
      <c r="AD55" s="37"/>
      <c r="AE55" s="37"/>
      <c r="AF55" s="37"/>
      <c r="AG55" s="37"/>
      <c r="AH55" s="37"/>
      <c r="AI55" s="37"/>
      <c r="AJ55" s="37"/>
      <c r="AK55" s="37"/>
      <c r="AL55" s="37"/>
      <c r="AM55" s="37"/>
    </row>
    <row r="56" spans="1:39" hidden="1" x14ac:dyDescent="0.25">
      <c r="A56" s="37"/>
      <c r="B56" s="37"/>
      <c r="C56" s="37"/>
      <c r="D56" s="37"/>
      <c r="E56" s="37"/>
      <c r="F56" s="37"/>
      <c r="G56" s="37"/>
      <c r="H56" s="37"/>
      <c r="I56" s="37"/>
      <c r="J56" s="37"/>
      <c r="K56" s="37"/>
      <c r="L56" s="37"/>
      <c r="M56" s="37"/>
      <c r="N56" s="37"/>
      <c r="O56" s="37"/>
      <c r="P56" s="37"/>
      <c r="Q56" s="37"/>
      <c r="R56" s="37"/>
      <c r="S56" s="37"/>
      <c r="T56" s="37"/>
      <c r="U56" s="37"/>
      <c r="V56" s="37"/>
      <c r="W56" s="37"/>
      <c r="X56" s="37"/>
      <c r="Y56" s="37"/>
      <c r="Z56" s="37"/>
      <c r="AA56" s="37"/>
      <c r="AB56" s="37"/>
      <c r="AC56" s="37"/>
      <c r="AD56" s="37"/>
      <c r="AE56" s="37"/>
      <c r="AF56" s="37"/>
      <c r="AG56" s="37"/>
      <c r="AH56" s="37"/>
      <c r="AI56" s="37"/>
      <c r="AJ56" s="37"/>
      <c r="AK56" s="37"/>
      <c r="AL56" s="37"/>
      <c r="AM56" s="37"/>
    </row>
    <row r="57" spans="1:39" hidden="1" x14ac:dyDescent="0.25">
      <c r="A57" s="37"/>
      <c r="B57" s="37"/>
      <c r="C57" s="37"/>
      <c r="D57" s="37"/>
      <c r="E57" s="37"/>
      <c r="F57" s="37"/>
      <c r="G57" s="37"/>
      <c r="H57" s="37"/>
      <c r="I57" s="37"/>
      <c r="J57" s="37"/>
      <c r="K57" s="37"/>
      <c r="L57" s="37"/>
      <c r="M57" s="37"/>
      <c r="N57" s="37"/>
      <c r="O57" s="37"/>
      <c r="P57" s="37"/>
      <c r="Q57" s="37"/>
      <c r="R57" s="37"/>
      <c r="S57" s="37"/>
      <c r="T57" s="37"/>
      <c r="U57" s="37"/>
      <c r="V57" s="37"/>
      <c r="W57" s="37"/>
      <c r="X57" s="37"/>
      <c r="Y57" s="37"/>
      <c r="Z57" s="37"/>
      <c r="AA57" s="37"/>
      <c r="AB57" s="37"/>
      <c r="AC57" s="37"/>
      <c r="AD57" s="37"/>
      <c r="AE57" s="37"/>
      <c r="AF57" s="37"/>
      <c r="AG57" s="37"/>
      <c r="AH57" s="37"/>
      <c r="AI57" s="37"/>
      <c r="AJ57" s="37"/>
      <c r="AK57" s="37"/>
      <c r="AL57" s="37"/>
      <c r="AM57" s="37"/>
    </row>
    <row r="58" spans="1:39" hidden="1" x14ac:dyDescent="0.25">
      <c r="A58" s="37"/>
      <c r="B58" s="37"/>
      <c r="C58" s="37"/>
      <c r="D58" s="37"/>
      <c r="E58" s="37"/>
      <c r="F58" s="37"/>
      <c r="G58" s="37"/>
      <c r="H58" s="37"/>
      <c r="I58" s="37"/>
      <c r="J58" s="37"/>
      <c r="K58" s="37"/>
      <c r="L58" s="37"/>
      <c r="M58" s="37"/>
      <c r="N58" s="37"/>
      <c r="O58" s="37"/>
      <c r="P58" s="37"/>
      <c r="Q58" s="37"/>
      <c r="R58" s="37"/>
      <c r="S58" s="37"/>
      <c r="T58" s="37"/>
      <c r="U58" s="37"/>
      <c r="V58" s="37"/>
      <c r="W58" s="37"/>
      <c r="X58" s="37"/>
      <c r="Y58" s="37"/>
      <c r="Z58" s="37"/>
      <c r="AA58" s="37"/>
      <c r="AB58" s="37"/>
      <c r="AC58" s="37"/>
      <c r="AD58" s="37"/>
      <c r="AE58" s="37"/>
      <c r="AF58" s="37"/>
      <c r="AG58" s="37"/>
      <c r="AH58" s="37"/>
      <c r="AI58" s="37"/>
      <c r="AJ58" s="37"/>
      <c r="AK58" s="37"/>
      <c r="AL58" s="37"/>
      <c r="AM58" s="37"/>
    </row>
    <row r="59" spans="1:39" hidden="1" x14ac:dyDescent="0.25">
      <c r="A59" s="37"/>
      <c r="B59" s="37"/>
      <c r="C59" s="37"/>
      <c r="D59" s="37"/>
      <c r="E59" s="37"/>
      <c r="F59" s="37"/>
      <c r="G59" s="37"/>
      <c r="H59" s="37"/>
      <c r="I59" s="37"/>
      <c r="J59" s="37"/>
      <c r="K59" s="37"/>
      <c r="L59" s="37"/>
      <c r="M59" s="37"/>
      <c r="N59" s="37"/>
      <c r="O59" s="37"/>
      <c r="P59" s="37"/>
      <c r="Q59" s="37"/>
      <c r="R59" s="37"/>
      <c r="S59" s="37"/>
      <c r="T59" s="37"/>
      <c r="U59" s="37"/>
      <c r="V59" s="37"/>
      <c r="W59" s="37"/>
      <c r="X59" s="37"/>
      <c r="Y59" s="37"/>
      <c r="Z59" s="37"/>
      <c r="AA59" s="37"/>
      <c r="AB59" s="37"/>
      <c r="AC59" s="37"/>
      <c r="AD59" s="37"/>
      <c r="AE59" s="37"/>
      <c r="AF59" s="37"/>
      <c r="AG59" s="37"/>
      <c r="AH59" s="37"/>
      <c r="AI59" s="37"/>
      <c r="AJ59" s="37"/>
      <c r="AK59" s="37"/>
      <c r="AL59" s="37"/>
      <c r="AM59" s="37"/>
    </row>
    <row r="60" spans="1:39" hidden="1"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row>
    <row r="61" spans="1:39" hidden="1" x14ac:dyDescent="0.25">
      <c r="A61" s="37"/>
      <c r="B61" s="37"/>
      <c r="C61" s="37"/>
      <c r="D61" s="37"/>
      <c r="E61" s="37"/>
      <c r="F61" s="37"/>
      <c r="G61" s="37"/>
      <c r="H61" s="37"/>
      <c r="I61" s="37"/>
      <c r="J61" s="37"/>
      <c r="K61" s="37"/>
      <c r="L61" s="37"/>
      <c r="M61" s="37"/>
      <c r="N61" s="37"/>
      <c r="O61" s="37"/>
      <c r="P61" s="37"/>
      <c r="Q61" s="37"/>
      <c r="R61" s="37"/>
      <c r="S61" s="37"/>
      <c r="T61" s="37"/>
      <c r="U61" s="37"/>
      <c r="V61" s="37"/>
      <c r="W61" s="37"/>
      <c r="X61" s="37"/>
      <c r="Y61" s="37"/>
      <c r="Z61" s="37"/>
      <c r="AA61" s="37"/>
      <c r="AB61" s="37"/>
      <c r="AC61" s="37"/>
      <c r="AD61" s="37"/>
      <c r="AE61" s="37"/>
      <c r="AF61" s="37"/>
      <c r="AG61" s="37"/>
      <c r="AH61" s="37"/>
      <c r="AI61" s="37"/>
      <c r="AJ61" s="37"/>
      <c r="AK61" s="37"/>
      <c r="AL61" s="37"/>
      <c r="AM61" s="37"/>
    </row>
    <row r="62" spans="1:39" hidden="1" x14ac:dyDescent="0.25">
      <c r="A62" s="37"/>
      <c r="B62" s="37"/>
      <c r="C62" s="37"/>
      <c r="D62" s="37"/>
      <c r="E62" s="37"/>
      <c r="F62" s="37"/>
      <c r="G62" s="37"/>
      <c r="H62" s="37"/>
      <c r="I62" s="37"/>
      <c r="J62" s="37"/>
      <c r="K62" s="37"/>
      <c r="L62" s="37"/>
      <c r="M62" s="37"/>
      <c r="N62" s="37"/>
      <c r="O62" s="37"/>
      <c r="P62" s="37"/>
      <c r="Q62" s="37"/>
      <c r="R62" s="37"/>
      <c r="S62" s="37"/>
      <c r="T62" s="37"/>
      <c r="U62" s="37"/>
      <c r="V62" s="37"/>
      <c r="W62" s="37"/>
      <c r="X62" s="37"/>
      <c r="Y62" s="37"/>
      <c r="Z62" s="37"/>
      <c r="AA62" s="37"/>
      <c r="AB62" s="37"/>
      <c r="AC62" s="37"/>
      <c r="AD62" s="37"/>
      <c r="AE62" s="37"/>
      <c r="AF62" s="37"/>
      <c r="AG62" s="37"/>
      <c r="AH62" s="37"/>
      <c r="AI62" s="37"/>
      <c r="AJ62" s="37"/>
      <c r="AK62" s="37"/>
      <c r="AL62" s="37"/>
      <c r="AM62" s="37"/>
    </row>
    <row r="63" spans="1:39" hidden="1" x14ac:dyDescent="0.25">
      <c r="A63" s="37"/>
      <c r="B63" s="37"/>
      <c r="C63" s="37"/>
      <c r="D63" s="37"/>
      <c r="E63" s="37"/>
      <c r="F63" s="37"/>
      <c r="G63" s="37"/>
      <c r="H63" s="37"/>
      <c r="I63" s="37"/>
      <c r="J63" s="37"/>
      <c r="K63" s="37"/>
      <c r="L63" s="37"/>
      <c r="M63" s="37"/>
      <c r="N63" s="37"/>
      <c r="O63" s="37"/>
      <c r="P63" s="37"/>
      <c r="Q63" s="37"/>
      <c r="R63" s="37"/>
      <c r="S63" s="37"/>
      <c r="T63" s="37"/>
      <c r="U63" s="37"/>
      <c r="V63" s="37"/>
      <c r="W63" s="37"/>
      <c r="X63" s="37"/>
      <c r="Y63" s="37"/>
      <c r="Z63" s="37"/>
      <c r="AA63" s="37"/>
      <c r="AB63" s="37"/>
      <c r="AC63" s="37"/>
      <c r="AD63" s="37"/>
      <c r="AE63" s="37"/>
      <c r="AF63" s="37"/>
      <c r="AG63" s="37"/>
      <c r="AH63" s="37"/>
      <c r="AI63" s="37"/>
      <c r="AJ63" s="37"/>
      <c r="AK63" s="37"/>
      <c r="AL63" s="37"/>
      <c r="AM63" s="37"/>
    </row>
    <row r="64" spans="1:39" hidden="1" x14ac:dyDescent="0.25">
      <c r="A64" s="37"/>
      <c r="B64" s="37"/>
      <c r="C64" s="37"/>
      <c r="D64" s="37"/>
      <c r="E64" s="37"/>
      <c r="F64" s="37"/>
      <c r="G64" s="37"/>
      <c r="H64" s="37"/>
      <c r="I64" s="37"/>
      <c r="J64" s="37"/>
      <c r="K64" s="37"/>
      <c r="L64" s="37"/>
      <c r="M64" s="37"/>
      <c r="N64" s="37"/>
      <c r="O64" s="37"/>
      <c r="P64" s="37"/>
      <c r="Q64" s="37"/>
      <c r="R64" s="37"/>
      <c r="S64" s="37"/>
      <c r="T64" s="37"/>
      <c r="U64" s="37"/>
      <c r="V64" s="37"/>
      <c r="W64" s="37"/>
      <c r="X64" s="37"/>
      <c r="Y64" s="37"/>
      <c r="Z64" s="37"/>
      <c r="AA64" s="37"/>
      <c r="AB64" s="37"/>
      <c r="AC64" s="37"/>
      <c r="AD64" s="37"/>
      <c r="AE64" s="37"/>
      <c r="AF64" s="37"/>
      <c r="AG64" s="37"/>
      <c r="AH64" s="37"/>
      <c r="AI64" s="37"/>
      <c r="AJ64" s="37"/>
      <c r="AK64" s="37"/>
      <c r="AL64" s="37"/>
      <c r="AM64" s="37"/>
    </row>
    <row r="65" spans="1:39" hidden="1" x14ac:dyDescent="0.25">
      <c r="A65" s="37"/>
      <c r="B65" s="37"/>
      <c r="C65" s="37"/>
      <c r="D65" s="37"/>
      <c r="E65" s="37"/>
      <c r="F65" s="37"/>
      <c r="G65" s="37"/>
      <c r="H65" s="37"/>
      <c r="I65" s="37"/>
      <c r="J65" s="37"/>
      <c r="K65" s="37"/>
      <c r="L65" s="37"/>
      <c r="M65" s="37"/>
      <c r="N65" s="37"/>
      <c r="O65" s="37"/>
      <c r="P65" s="37"/>
      <c r="Q65" s="37"/>
      <c r="R65" s="37"/>
      <c r="S65" s="37"/>
      <c r="T65" s="37"/>
      <c r="U65" s="37"/>
      <c r="V65" s="37"/>
      <c r="W65" s="37"/>
      <c r="X65" s="37"/>
      <c r="Y65" s="37"/>
      <c r="Z65" s="37"/>
      <c r="AA65" s="37"/>
      <c r="AB65" s="37"/>
      <c r="AC65" s="37"/>
      <c r="AD65" s="37"/>
      <c r="AE65" s="37"/>
      <c r="AF65" s="37"/>
      <c r="AG65" s="37"/>
      <c r="AH65" s="37"/>
      <c r="AI65" s="37"/>
      <c r="AJ65" s="37"/>
      <c r="AK65" s="37"/>
      <c r="AL65" s="37"/>
      <c r="AM65" s="37"/>
    </row>
    <row r="66" spans="1:39" hidden="1" x14ac:dyDescent="0.25">
      <c r="A66" s="37"/>
      <c r="B66" s="37"/>
      <c r="C66" s="37"/>
      <c r="D66" s="37"/>
      <c r="E66" s="37"/>
      <c r="F66" s="37"/>
      <c r="G66" s="37"/>
      <c r="H66" s="37"/>
      <c r="I66" s="37"/>
      <c r="J66" s="37"/>
      <c r="K66" s="37"/>
      <c r="L66" s="37"/>
      <c r="M66" s="37"/>
      <c r="N66" s="37"/>
      <c r="O66" s="37"/>
      <c r="P66" s="37"/>
      <c r="Q66" s="37"/>
      <c r="R66" s="37"/>
      <c r="S66" s="37"/>
      <c r="T66" s="37"/>
      <c r="U66" s="37"/>
      <c r="V66" s="37"/>
      <c r="W66" s="37"/>
      <c r="X66" s="37"/>
      <c r="Y66" s="37"/>
      <c r="Z66" s="37"/>
      <c r="AA66" s="37"/>
      <c r="AB66" s="37"/>
      <c r="AC66" s="37"/>
      <c r="AD66" s="37"/>
      <c r="AE66" s="37"/>
      <c r="AF66" s="37"/>
      <c r="AG66" s="37"/>
      <c r="AH66" s="37"/>
      <c r="AI66" s="37"/>
      <c r="AJ66" s="37"/>
      <c r="AK66" s="37"/>
      <c r="AL66" s="37"/>
      <c r="AM66" s="37"/>
    </row>
    <row r="67" spans="1:39" hidden="1"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row>
    <row r="68" spans="1:39" hidden="1" x14ac:dyDescent="0.25">
      <c r="A68" s="37"/>
      <c r="B68" s="37"/>
      <c r="C68" s="37"/>
      <c r="D68" s="37"/>
      <c r="E68" s="37"/>
      <c r="F68" s="37"/>
      <c r="G68" s="37"/>
      <c r="H68" s="37"/>
      <c r="I68" s="37"/>
      <c r="J68" s="37"/>
      <c r="K68" s="37"/>
      <c r="L68" s="37"/>
      <c r="M68" s="37"/>
      <c r="N68" s="37"/>
      <c r="O68" s="37"/>
      <c r="P68" s="37"/>
      <c r="Q68" s="37"/>
      <c r="R68" s="37"/>
      <c r="S68" s="37"/>
      <c r="T68" s="37"/>
      <c r="U68" s="37"/>
      <c r="V68" s="37"/>
      <c r="W68" s="37"/>
      <c r="X68" s="37"/>
      <c r="Y68" s="37"/>
      <c r="Z68" s="37"/>
      <c r="AA68" s="37"/>
      <c r="AB68" s="37"/>
      <c r="AC68" s="37"/>
      <c r="AD68" s="37"/>
      <c r="AE68" s="37"/>
      <c r="AF68" s="37"/>
      <c r="AG68" s="37"/>
      <c r="AH68" s="37"/>
      <c r="AI68" s="37"/>
      <c r="AJ68" s="37"/>
      <c r="AK68" s="37"/>
      <c r="AL68" s="37"/>
      <c r="AM68" s="37"/>
    </row>
    <row r="69" spans="1:39" hidden="1" x14ac:dyDescent="0.25">
      <c r="AG69" s="37"/>
    </row>
  </sheetData>
  <dataConsolidate/>
  <mergeCells count="30">
    <mergeCell ref="AE7:AE8"/>
    <mergeCell ref="Y13:Y14"/>
    <mergeCell ref="Q13:Q14"/>
    <mergeCell ref="M35:N35"/>
    <mergeCell ref="U23:V23"/>
    <mergeCell ref="U17:V17"/>
    <mergeCell ref="R29:S29"/>
    <mergeCell ref="Y19:Y20"/>
    <mergeCell ref="Z7:Z8"/>
    <mergeCell ref="Q31:Q32"/>
    <mergeCell ref="AC10:AD10"/>
    <mergeCell ref="P31:P32"/>
    <mergeCell ref="AC17:AD17"/>
    <mergeCell ref="U29:V29"/>
    <mergeCell ref="AI13:AJ13"/>
    <mergeCell ref="D33:E33"/>
    <mergeCell ref="M23:N23"/>
    <mergeCell ref="M29:N29"/>
    <mergeCell ref="D31:E32"/>
    <mergeCell ref="X4:X5"/>
    <mergeCell ref="B33:C34"/>
    <mergeCell ref="D11:E11"/>
    <mergeCell ref="T35:U35"/>
    <mergeCell ref="F8:F9"/>
    <mergeCell ref="G8:G9"/>
    <mergeCell ref="I39:J39"/>
    <mergeCell ref="D40:E40"/>
    <mergeCell ref="C38:E39"/>
    <mergeCell ref="E22:F22"/>
    <mergeCell ref="D35:E35"/>
  </mergeCells>
  <dataValidations disablePrompts="1" count="2">
    <dataValidation type="list" allowBlank="1" showInputMessage="1" showErrorMessage="1" sqref="H4" xr:uid="{00000000-0002-0000-0500-000000000000}">
      <formula1>"open,partial,closed,hybrid,biological"</formula1>
    </dataValidation>
    <dataValidation showInputMessage="1" showErrorMessage="1" sqref="H5" xr:uid="{9ABE60DB-ED0B-4E75-B5C9-690499C92C27}"/>
  </dataValidations>
  <pageMargins left="0.7" right="0.7" top="0.78740157499999996" bottom="0.78740157499999996" header="0.3" footer="0.3"/>
  <pageSetup paperSize="9" scale="59" orientation="landscape" r:id="rId1"/>
  <drawing r:id="rId2"/>
  <legacyDrawing r:id="rId3"/>
  <controls>
    <mc:AlternateContent xmlns:mc="http://schemas.openxmlformats.org/markup-compatibility/2006">
      <mc:Choice Requires="x14">
        <control shapeId="201017" r:id="rId4" name="PBR_CO2Percentage">
          <controlPr defaultSize="0" autoLine="0" r:id="rId5">
            <anchor moveWithCells="1">
              <from>
                <xdr:col>5</xdr:col>
                <xdr:colOff>238125</xdr:colOff>
                <xdr:row>6</xdr:row>
                <xdr:rowOff>28575</xdr:rowOff>
              </from>
              <to>
                <xdr:col>6</xdr:col>
                <xdr:colOff>333375</xdr:colOff>
                <xdr:row>7</xdr:row>
                <xdr:rowOff>76200</xdr:rowOff>
              </to>
            </anchor>
          </controlPr>
        </control>
      </mc:Choice>
      <mc:Fallback>
        <control shapeId="201017" r:id="rId4" name="PBR_CO2Percentage"/>
      </mc:Fallback>
    </mc:AlternateContent>
    <mc:AlternateContent xmlns:mc="http://schemas.openxmlformats.org/markup-compatibility/2006">
      <mc:Choice Requires="x14">
        <control shapeId="201016" r:id="rId6" name="PBR_LabelCO2Percentage">
          <controlPr defaultSize="0" autoLine="0" r:id="rId7">
            <anchor moveWithCells="1">
              <from>
                <xdr:col>2</xdr:col>
                <xdr:colOff>9525</xdr:colOff>
                <xdr:row>6</xdr:row>
                <xdr:rowOff>28575</xdr:rowOff>
              </from>
              <to>
                <xdr:col>5</xdr:col>
                <xdr:colOff>285750</xdr:colOff>
                <xdr:row>7</xdr:row>
                <xdr:rowOff>104775</xdr:rowOff>
              </to>
            </anchor>
          </controlPr>
        </control>
      </mc:Choice>
      <mc:Fallback>
        <control shapeId="201016" r:id="rId6" name="PBR_LabelCO2Percentage"/>
      </mc:Fallback>
    </mc:AlternateContent>
    <mc:AlternateContent xmlns:mc="http://schemas.openxmlformats.org/markup-compatibility/2006">
      <mc:Choice Requires="x14">
        <control shapeId="201007" r:id="rId8" name="WaterBalance">
          <controlPr defaultSize="0" autoLine="0" autoPict="0" r:id="rId9">
            <anchor moveWithCells="1">
              <from>
                <xdr:col>18</xdr:col>
                <xdr:colOff>28575</xdr:colOff>
                <xdr:row>25</xdr:row>
                <xdr:rowOff>104775</xdr:rowOff>
              </from>
              <to>
                <xdr:col>22</xdr:col>
                <xdr:colOff>352425</xdr:colOff>
                <xdr:row>26</xdr:row>
                <xdr:rowOff>152400</xdr:rowOff>
              </to>
            </anchor>
          </controlPr>
        </control>
      </mc:Choice>
      <mc:Fallback>
        <control shapeId="201007" r:id="rId8" name="WaterBalance"/>
      </mc:Fallback>
    </mc:AlternateContent>
    <mc:AlternateContent xmlns:mc="http://schemas.openxmlformats.org/markup-compatibility/2006">
      <mc:Choice Requires="x14">
        <control shapeId="201002" r:id="rId10" name="TraceContaminantControlList">
          <controlPr defaultSize="0" autoLine="0" r:id="rId11">
            <anchor moveWithCells="1">
              <from>
                <xdr:col>31</xdr:col>
                <xdr:colOff>0</xdr:colOff>
                <xdr:row>2</xdr:row>
                <xdr:rowOff>0</xdr:rowOff>
              </from>
              <to>
                <xdr:col>35</xdr:col>
                <xdr:colOff>38100</xdr:colOff>
                <xdr:row>3</xdr:row>
                <xdr:rowOff>66675</xdr:rowOff>
              </to>
            </anchor>
          </controlPr>
        </control>
      </mc:Choice>
      <mc:Fallback>
        <control shapeId="201002" r:id="rId10" name="TraceContaminantControlList"/>
      </mc:Fallback>
    </mc:AlternateContent>
    <mc:AlternateContent xmlns:mc="http://schemas.openxmlformats.org/markup-compatibility/2006">
      <mc:Choice Requires="x14">
        <control shapeId="200999" r:id="rId12" name="AtmosphereMonitoringList">
          <controlPr defaultSize="0" autoLine="0" r:id="rId13">
            <anchor moveWithCells="1">
              <from>
                <xdr:col>31</xdr:col>
                <xdr:colOff>0</xdr:colOff>
                <xdr:row>0</xdr:row>
                <xdr:rowOff>142875</xdr:rowOff>
              </from>
              <to>
                <xdr:col>35</xdr:col>
                <xdr:colOff>38100</xdr:colOff>
                <xdr:row>2</xdr:row>
                <xdr:rowOff>19050</xdr:rowOff>
              </to>
            </anchor>
          </controlPr>
        </control>
      </mc:Choice>
      <mc:Fallback>
        <control shapeId="200999" r:id="rId12" name="AtmosphereMonitoringList"/>
      </mc:Fallback>
    </mc:AlternateContent>
    <mc:AlternateContent xmlns:mc="http://schemas.openxmlformats.org/markup-compatibility/2006">
      <mc:Choice Requires="x14">
        <control shapeId="200991" r:id="rId14" name="PGC_LabelNumberOfUnits">
          <controlPr defaultSize="0" autoLine="0" r:id="rId15">
            <anchor moveWithCells="1">
              <from>
                <xdr:col>2</xdr:col>
                <xdr:colOff>142875</xdr:colOff>
                <xdr:row>15</xdr:row>
                <xdr:rowOff>47625</xdr:rowOff>
              </from>
              <to>
                <xdr:col>5</xdr:col>
                <xdr:colOff>104775</xdr:colOff>
                <xdr:row>16</xdr:row>
                <xdr:rowOff>9525</xdr:rowOff>
              </to>
            </anchor>
          </controlPr>
        </control>
      </mc:Choice>
      <mc:Fallback>
        <control shapeId="200991" r:id="rId14" name="PGC_LabelNumberOfUnits"/>
      </mc:Fallback>
    </mc:AlternateContent>
    <mc:AlternateContent xmlns:mc="http://schemas.openxmlformats.org/markup-compatibility/2006">
      <mc:Choice Requires="x14">
        <control shapeId="200990" r:id="rId16" name="PGC_NumberOfUnits">
          <controlPr defaultSize="0" autoLine="0" autoPict="0" r:id="rId17">
            <anchor moveWithCells="1">
              <from>
                <xdr:col>5</xdr:col>
                <xdr:colOff>180975</xdr:colOff>
                <xdr:row>15</xdr:row>
                <xdr:rowOff>28575</xdr:rowOff>
              </from>
              <to>
                <xdr:col>6</xdr:col>
                <xdr:colOff>314325</xdr:colOff>
                <xdr:row>16</xdr:row>
                <xdr:rowOff>104775</xdr:rowOff>
              </to>
            </anchor>
          </controlPr>
        </control>
      </mc:Choice>
      <mc:Fallback>
        <control shapeId="200990" r:id="rId16" name="PGC_NumberOfUnits"/>
      </mc:Fallback>
    </mc:AlternateContent>
    <mc:AlternateContent xmlns:mc="http://schemas.openxmlformats.org/markup-compatibility/2006">
      <mc:Choice Requires="x14">
        <control shapeId="200988" r:id="rId18" name="H2StorageList">
          <controlPr defaultSize="0" autoLine="0" r:id="rId19">
            <anchor moveWithCells="1">
              <from>
                <xdr:col>24</xdr:col>
                <xdr:colOff>123825</xdr:colOff>
                <xdr:row>19</xdr:row>
                <xdr:rowOff>47625</xdr:rowOff>
              </from>
              <to>
                <xdr:col>29</xdr:col>
                <xdr:colOff>161925</xdr:colOff>
                <xdr:row>20</xdr:row>
                <xdr:rowOff>152400</xdr:rowOff>
              </to>
            </anchor>
          </controlPr>
        </control>
      </mc:Choice>
      <mc:Fallback>
        <control shapeId="200988" r:id="rId18" name="H2StorageList"/>
      </mc:Fallback>
    </mc:AlternateContent>
    <mc:AlternateContent xmlns:mc="http://schemas.openxmlformats.org/markup-compatibility/2006">
      <mc:Choice Requires="x14">
        <control shapeId="200987" r:id="rId20" name="O2StorageList">
          <controlPr defaultSize="0" autoLine="0" r:id="rId21">
            <anchor moveWithCells="1">
              <from>
                <xdr:col>18</xdr:col>
                <xdr:colOff>38100</xdr:colOff>
                <xdr:row>13</xdr:row>
                <xdr:rowOff>28575</xdr:rowOff>
              </from>
              <to>
                <xdr:col>23</xdr:col>
                <xdr:colOff>76200</xdr:colOff>
                <xdr:row>14</xdr:row>
                <xdr:rowOff>133350</xdr:rowOff>
              </to>
            </anchor>
          </controlPr>
        </control>
      </mc:Choice>
      <mc:Fallback>
        <control shapeId="200987" r:id="rId20" name="O2StorageList"/>
      </mc:Fallback>
    </mc:AlternateContent>
    <mc:AlternateContent xmlns:mc="http://schemas.openxmlformats.org/markup-compatibility/2006">
      <mc:Choice Requires="x14">
        <control shapeId="200986" r:id="rId22" name="ISRUList">
          <controlPr defaultSize="0" autoLine="0" r:id="rId23">
            <anchor moveWithCells="1">
              <from>
                <xdr:col>24</xdr:col>
                <xdr:colOff>314325</xdr:colOff>
                <xdr:row>31</xdr:row>
                <xdr:rowOff>47625</xdr:rowOff>
              </from>
              <to>
                <xdr:col>29</xdr:col>
                <xdr:colOff>352425</xdr:colOff>
                <xdr:row>32</xdr:row>
                <xdr:rowOff>152400</xdr:rowOff>
              </to>
            </anchor>
          </controlPr>
        </control>
      </mc:Choice>
      <mc:Fallback>
        <control shapeId="200986" r:id="rId22" name="ISRUList"/>
      </mc:Fallback>
    </mc:AlternateContent>
    <mc:AlternateContent xmlns:mc="http://schemas.openxmlformats.org/markup-compatibility/2006">
      <mc:Choice Requires="x14">
        <control shapeId="200985" r:id="rId24" name="WWFiltrationList">
          <controlPr defaultSize="0" autoLine="0" r:id="rId25">
            <anchor moveWithCells="1">
              <from>
                <xdr:col>18</xdr:col>
                <xdr:colOff>38100</xdr:colOff>
                <xdr:row>31</xdr:row>
                <xdr:rowOff>47625</xdr:rowOff>
              </from>
              <to>
                <xdr:col>23</xdr:col>
                <xdr:colOff>76200</xdr:colOff>
                <xdr:row>32</xdr:row>
                <xdr:rowOff>152400</xdr:rowOff>
              </to>
            </anchor>
          </controlPr>
        </control>
      </mc:Choice>
      <mc:Fallback>
        <control shapeId="200985" r:id="rId24" name="WWFiltrationList"/>
      </mc:Fallback>
    </mc:AlternateContent>
    <mc:AlternateContent xmlns:mc="http://schemas.openxmlformats.org/markup-compatibility/2006">
      <mc:Choice Requires="x14">
        <control shapeId="200984" r:id="rId26" name="BrineProcessingList">
          <controlPr defaultSize="0" autoLine="0" r:id="rId27">
            <anchor moveWithCells="1">
              <from>
                <xdr:col>10</xdr:col>
                <xdr:colOff>38100</xdr:colOff>
                <xdr:row>36</xdr:row>
                <xdr:rowOff>161925</xdr:rowOff>
              </from>
              <to>
                <xdr:col>15</xdr:col>
                <xdr:colOff>76200</xdr:colOff>
                <xdr:row>38</xdr:row>
                <xdr:rowOff>76200</xdr:rowOff>
              </to>
            </anchor>
          </controlPr>
        </control>
      </mc:Choice>
      <mc:Fallback>
        <control shapeId="200984" r:id="rId26" name="BrineProcessingList"/>
      </mc:Fallback>
    </mc:AlternateContent>
    <mc:AlternateContent xmlns:mc="http://schemas.openxmlformats.org/markup-compatibility/2006">
      <mc:Choice Requires="x14">
        <control shapeId="200983" r:id="rId28" name="UrineProcessingList">
          <controlPr defaultSize="0" autoLine="0" r:id="rId29">
            <anchor moveWithCells="1">
              <from>
                <xdr:col>10</xdr:col>
                <xdr:colOff>38100</xdr:colOff>
                <xdr:row>31</xdr:row>
                <xdr:rowOff>47625</xdr:rowOff>
              </from>
              <to>
                <xdr:col>15</xdr:col>
                <xdr:colOff>76200</xdr:colOff>
                <xdr:row>32</xdr:row>
                <xdr:rowOff>152400</xdr:rowOff>
              </to>
            </anchor>
          </controlPr>
        </control>
      </mc:Choice>
      <mc:Fallback>
        <control shapeId="200983" r:id="rId28" name="UrineProcessingList"/>
      </mc:Fallback>
    </mc:AlternateContent>
    <mc:AlternateContent xmlns:mc="http://schemas.openxmlformats.org/markup-compatibility/2006">
      <mc:Choice Requires="x14">
        <control shapeId="200982" r:id="rId30" name="ElectrolysisList">
          <controlPr defaultSize="0" autoLine="0" r:id="rId31">
            <anchor moveWithCells="1">
              <from>
                <xdr:col>18</xdr:col>
                <xdr:colOff>38100</xdr:colOff>
                <xdr:row>19</xdr:row>
                <xdr:rowOff>47625</xdr:rowOff>
              </from>
              <to>
                <xdr:col>23</xdr:col>
                <xdr:colOff>76200</xdr:colOff>
                <xdr:row>20</xdr:row>
                <xdr:rowOff>152400</xdr:rowOff>
              </to>
            </anchor>
          </controlPr>
        </control>
      </mc:Choice>
      <mc:Fallback>
        <control shapeId="200982" r:id="rId30" name="ElectrolysisList"/>
      </mc:Fallback>
    </mc:AlternateContent>
    <mc:AlternateContent xmlns:mc="http://schemas.openxmlformats.org/markup-compatibility/2006">
      <mc:Choice Requires="x14">
        <control shapeId="200981" r:id="rId32" name="CO2ReductionList">
          <controlPr defaultSize="0" autoLine="0" r:id="rId33">
            <anchor moveWithCells="1">
              <from>
                <xdr:col>24</xdr:col>
                <xdr:colOff>123825</xdr:colOff>
                <xdr:row>13</xdr:row>
                <xdr:rowOff>28575</xdr:rowOff>
              </from>
              <to>
                <xdr:col>29</xdr:col>
                <xdr:colOff>152400</xdr:colOff>
                <xdr:row>14</xdr:row>
                <xdr:rowOff>133350</xdr:rowOff>
              </to>
            </anchor>
          </controlPr>
        </control>
      </mc:Choice>
      <mc:Fallback>
        <control shapeId="200981" r:id="rId32" name="CO2ReductionList"/>
      </mc:Fallback>
    </mc:AlternateContent>
    <mc:AlternateContent xmlns:mc="http://schemas.openxmlformats.org/markup-compatibility/2006">
      <mc:Choice Requires="x14">
        <control shapeId="200979" r:id="rId34" name="HumidityControlList">
          <controlPr defaultSize="0" autoLine="0" r:id="rId35">
            <anchor moveWithCells="1">
              <from>
                <xdr:col>10</xdr:col>
                <xdr:colOff>38100</xdr:colOff>
                <xdr:row>7</xdr:row>
                <xdr:rowOff>66675</xdr:rowOff>
              </from>
              <to>
                <xdr:col>15</xdr:col>
                <xdr:colOff>76200</xdr:colOff>
                <xdr:row>8</xdr:row>
                <xdr:rowOff>171450</xdr:rowOff>
              </to>
            </anchor>
          </controlPr>
        </control>
      </mc:Choice>
      <mc:Fallback>
        <control shapeId="200979" r:id="rId34" name="HumidityControlList"/>
      </mc:Fallback>
    </mc:AlternateContent>
    <mc:AlternateContent xmlns:mc="http://schemas.openxmlformats.org/markup-compatibility/2006">
      <mc:Choice Requires="x14">
        <control shapeId="200976" r:id="rId36" name="CO2_RemovalList">
          <controlPr defaultSize="0" autoLine="0" r:id="rId37">
            <anchor moveWithCells="1">
              <from>
                <xdr:col>18</xdr:col>
                <xdr:colOff>38100</xdr:colOff>
                <xdr:row>7</xdr:row>
                <xdr:rowOff>57150</xdr:rowOff>
              </from>
              <to>
                <xdr:col>23</xdr:col>
                <xdr:colOff>76200</xdr:colOff>
                <xdr:row>8</xdr:row>
                <xdr:rowOff>161925</xdr:rowOff>
              </to>
            </anchor>
          </controlPr>
        </control>
      </mc:Choice>
      <mc:Fallback>
        <control shapeId="200976" r:id="rId36" name="CO2_RemovalList"/>
      </mc:Fallback>
    </mc:AlternateContent>
    <mc:AlternateContent xmlns:mc="http://schemas.openxmlformats.org/markup-compatibility/2006">
      <mc:Choice Requires="x14">
        <control shapeId="200989" r:id="rId38" name="PlantGrowthChamberList">
          <controlPr defaultSize="0" autoLine="0" r:id="rId39">
            <anchor moveWithCells="1">
              <from>
                <xdr:col>2</xdr:col>
                <xdr:colOff>9525</xdr:colOff>
                <xdr:row>13</xdr:row>
                <xdr:rowOff>85725</xdr:rowOff>
              </from>
              <to>
                <xdr:col>7</xdr:col>
                <xdr:colOff>47625</xdr:colOff>
                <xdr:row>15</xdr:row>
                <xdr:rowOff>0</xdr:rowOff>
              </to>
            </anchor>
          </controlPr>
        </control>
      </mc:Choice>
      <mc:Fallback>
        <control shapeId="200989" r:id="rId38" name="PlantGrowthChamberList"/>
      </mc:Fallback>
    </mc:AlternateContent>
    <mc:AlternateContent xmlns:mc="http://schemas.openxmlformats.org/markup-compatibility/2006">
      <mc:Choice Requires="x14">
        <control shapeId="201010" r:id="rId40" name="PGCurineTreatmentOption">
          <controlPr defaultSize="0" autoLine="0" r:id="rId41">
            <anchor moveWithCells="1">
              <from>
                <xdr:col>2</xdr:col>
                <xdr:colOff>47625</xdr:colOff>
                <xdr:row>16</xdr:row>
                <xdr:rowOff>114300</xdr:rowOff>
              </from>
              <to>
                <xdr:col>7</xdr:col>
                <xdr:colOff>0</xdr:colOff>
                <xdr:row>17</xdr:row>
                <xdr:rowOff>133350</xdr:rowOff>
              </to>
            </anchor>
          </controlPr>
        </control>
      </mc:Choice>
      <mc:Fallback>
        <control shapeId="201010" r:id="rId40" name="PGCurineTreatmentOption"/>
      </mc:Fallback>
    </mc:AlternateContent>
    <mc:AlternateContent xmlns:mc="http://schemas.openxmlformats.org/markup-compatibility/2006">
      <mc:Choice Requires="x14">
        <control shapeId="201011" r:id="rId42" name="OptionIncinerateInedible">
          <controlPr defaultSize="0" autoLine="0" r:id="rId43">
            <anchor moveWithCells="1">
              <from>
                <xdr:col>18</xdr:col>
                <xdr:colOff>257175</xdr:colOff>
                <xdr:row>37</xdr:row>
                <xdr:rowOff>104775</xdr:rowOff>
              </from>
              <to>
                <xdr:col>22</xdr:col>
                <xdr:colOff>228600</xdr:colOff>
                <xdr:row>38</xdr:row>
                <xdr:rowOff>114300</xdr:rowOff>
              </to>
            </anchor>
          </controlPr>
        </control>
      </mc:Choice>
      <mc:Fallback>
        <control shapeId="201011" r:id="rId42" name="OptionIncinerateInedible"/>
      </mc:Fallback>
    </mc:AlternateContent>
    <mc:AlternateContent xmlns:mc="http://schemas.openxmlformats.org/markup-compatibility/2006">
      <mc:Choice Requires="x14">
        <control shapeId="201014" r:id="rId44" name="PBRList">
          <controlPr defaultSize="0" autoLine="0" r:id="rId45">
            <anchor moveWithCells="1">
              <from>
                <xdr:col>2</xdr:col>
                <xdr:colOff>0</xdr:colOff>
                <xdr:row>4</xdr:row>
                <xdr:rowOff>28575</xdr:rowOff>
              </from>
              <to>
                <xdr:col>7</xdr:col>
                <xdr:colOff>38100</xdr:colOff>
                <xdr:row>5</xdr:row>
                <xdr:rowOff>133350</xdr:rowOff>
              </to>
            </anchor>
          </controlPr>
        </control>
      </mc:Choice>
      <mc:Fallback>
        <control shapeId="201014" r:id="rId44" name="PBRList"/>
      </mc:Fallback>
    </mc:AlternateContent>
    <mc:AlternateContent xmlns:mc="http://schemas.openxmlformats.org/markup-compatibility/2006">
      <mc:Choice Requires="x14">
        <control shapeId="201018" r:id="rId46" name="MethaneProcessingList">
          <controlPr defaultSize="0" autoLine="0" r:id="rId47">
            <anchor moveWithCells="1">
              <from>
                <xdr:col>31</xdr:col>
                <xdr:colOff>28575</xdr:colOff>
                <xdr:row>15</xdr:row>
                <xdr:rowOff>66675</xdr:rowOff>
              </from>
              <to>
                <xdr:col>36</xdr:col>
                <xdr:colOff>66675</xdr:colOff>
                <xdr:row>16</xdr:row>
                <xdr:rowOff>171450</xdr:rowOff>
              </to>
            </anchor>
          </controlPr>
        </control>
      </mc:Choice>
      <mc:Fallback>
        <control shapeId="201018" r:id="rId46" name="MethaneProcessingList"/>
      </mc:Fallback>
    </mc:AlternateContent>
    <mc:AlternateContent xmlns:mc="http://schemas.openxmlformats.org/markup-compatibility/2006">
      <mc:Choice Requires="x14">
        <control shapeId="201019" r:id="rId48" name="Button 48443">
          <controlPr defaultSize="0" print="0" autoFill="0" autoPict="0" macro="[0]!Tabelle4.ECLSSCompUserGuid">
            <anchor moveWithCells="1" sizeWithCells="1">
              <from>
                <xdr:col>0</xdr:col>
                <xdr:colOff>28575</xdr:colOff>
                <xdr:row>0</xdr:row>
                <xdr:rowOff>0</xdr:rowOff>
              </from>
              <to>
                <xdr:col>3</xdr:col>
                <xdr:colOff>381000</xdr:colOff>
                <xdr:row>2</xdr:row>
                <xdr:rowOff>9525</xdr:rowOff>
              </to>
            </anchor>
          </controlPr>
        </control>
      </mc:Choice>
    </mc:AlternateContent>
    <mc:AlternateContent xmlns:mc="http://schemas.openxmlformats.org/markup-compatibility/2006">
      <mc:Choice Requires="x14">
        <control shapeId="201020" r:id="rId49" name="Button 48444">
          <controlPr defaultSize="0" print="0" autoFill="0" autoPict="0" macro="[0]!Tabelle4.InitializeDropDownButton">
            <anchor moveWithCells="1" sizeWithCells="1">
              <from>
                <xdr:col>4</xdr:col>
                <xdr:colOff>19050</xdr:colOff>
                <xdr:row>0</xdr:row>
                <xdr:rowOff>0</xdr:rowOff>
              </from>
              <to>
                <xdr:col>7</xdr:col>
                <xdr:colOff>371475</xdr:colOff>
                <xdr:row>2</xdr:row>
                <xdr:rowOff>9525</xdr:rowOff>
              </to>
            </anchor>
          </controlPr>
        </control>
      </mc:Choice>
    </mc:AlternateContent>
    <mc:AlternateContent xmlns:mc="http://schemas.openxmlformats.org/markup-compatibility/2006">
      <mc:Choice Requires="x14">
        <control shapeId="201021" r:id="rId50" name="Button 48445">
          <controlPr defaultSize="0" print="0" autoFill="0" autoPict="0" macro="[0]!Tabelle4.ExecuteCalculations">
            <anchor moveWithCells="1" sizeWithCells="1">
              <from>
                <xdr:col>8</xdr:col>
                <xdr:colOff>19050</xdr:colOff>
                <xdr:row>0</xdr:row>
                <xdr:rowOff>0</xdr:rowOff>
              </from>
              <to>
                <xdr:col>11</xdr:col>
                <xdr:colOff>371475</xdr:colOff>
                <xdr:row>2</xdr:row>
                <xdr:rowOff>9525</xdr:rowOff>
              </to>
            </anchor>
          </controlPr>
        </control>
      </mc:Choice>
    </mc:AlternateContent>
    <mc:AlternateContent xmlns:mc="http://schemas.openxmlformats.org/markup-compatibility/2006">
      <mc:Choice Requires="x14">
        <control shapeId="201022" r:id="rId51" name="Button 48446">
          <controlPr defaultSize="0" print="0" autoFill="0" autoPict="0" macro="[0]!Tabelle4.AddESMResultsToPosition">
            <anchor moveWithCells="1" sizeWithCells="1">
              <from>
                <xdr:col>12</xdr:col>
                <xdr:colOff>9525</xdr:colOff>
                <xdr:row>0</xdr:row>
                <xdr:rowOff>0</xdr:rowOff>
              </from>
              <to>
                <xdr:col>15</xdr:col>
                <xdr:colOff>371475</xdr:colOff>
                <xdr:row>2</xdr:row>
                <xdr:rowOff>9525</xdr:rowOff>
              </to>
            </anchor>
          </controlPr>
        </control>
      </mc:Choice>
    </mc:AlternateContent>
    <mc:AlternateContent xmlns:mc="http://schemas.openxmlformats.org/markup-compatibility/2006">
      <mc:Choice Requires="x14">
        <control shapeId="201023" r:id="rId52" name="Button 48447">
          <controlPr defaultSize="0" print="0" autoFill="0" autoPict="0" macro="[0]!Tabelle4.LoadResults">
            <anchor moveWithCells="1" sizeWithCells="1">
              <from>
                <xdr:col>16</xdr:col>
                <xdr:colOff>9525</xdr:colOff>
                <xdr:row>0</xdr:row>
                <xdr:rowOff>0</xdr:rowOff>
              </from>
              <to>
                <xdr:col>19</xdr:col>
                <xdr:colOff>371475</xdr:colOff>
                <xdr:row>2</xdr:row>
                <xdr:rowOff>9525</xdr:rowOff>
              </to>
            </anchor>
          </controlPr>
        </control>
      </mc:Choice>
    </mc:AlternateContent>
    <mc:AlternateContent xmlns:mc="http://schemas.openxmlformats.org/markup-compatibility/2006">
      <mc:Choice Requires="x14">
        <control shapeId="201024" r:id="rId53" name="Button 48448">
          <controlPr defaultSize="0" print="0" autoFill="0" autoPict="0" macro="[0]!Tabelle4.ClearResults">
            <anchor moveWithCells="1" sizeWithCells="1">
              <from>
                <xdr:col>20</xdr:col>
                <xdr:colOff>9525</xdr:colOff>
                <xdr:row>0</xdr:row>
                <xdr:rowOff>0</xdr:rowOff>
              </from>
              <to>
                <xdr:col>23</xdr:col>
                <xdr:colOff>361950</xdr:colOff>
                <xdr:row>2</xdr:row>
                <xdr:rowOff>9525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BD445"/>
  <sheetViews>
    <sheetView zoomScale="70" zoomScaleNormal="70" workbookViewId="0">
      <pane xSplit="1" ySplit="2" topLeftCell="AH363" activePane="bottomRight" state="frozen"/>
      <selection pane="topRight" activeCell="B1" sqref="B1"/>
      <selection pane="bottomLeft" activeCell="A3" sqref="A3"/>
      <selection pane="bottomRight" activeCell="A368" sqref="A368"/>
    </sheetView>
  </sheetViews>
  <sheetFormatPr defaultColWidth="11.42578125" defaultRowHeight="15" x14ac:dyDescent="0.25"/>
  <cols>
    <col min="1" max="1" width="27.5703125" customWidth="1"/>
    <col min="2" max="2" width="13.140625" customWidth="1"/>
    <col min="5" max="5" width="10.5703125" bestFit="1" customWidth="1"/>
    <col min="6" max="6" width="6.140625" bestFit="1" customWidth="1"/>
    <col min="8" max="8" width="56.5703125" customWidth="1"/>
    <col min="9" max="9" width="13.42578125" customWidth="1"/>
    <col min="10" max="10" width="12.5703125" bestFit="1" customWidth="1"/>
    <col min="13" max="13" width="12.140625" customWidth="1"/>
    <col min="15" max="15" width="13.5703125" customWidth="1"/>
    <col min="19" max="19" width="12.42578125" bestFit="1" customWidth="1"/>
    <col min="21" max="21" width="10" style="56" bestFit="1" customWidth="1"/>
    <col min="22" max="22" width="14" customWidth="1"/>
    <col min="24" max="24" width="11.5703125" customWidth="1"/>
    <col min="27" max="27" width="12.140625" customWidth="1"/>
    <col min="28" max="28" width="10.85546875" bestFit="1" customWidth="1"/>
    <col min="30" max="30" width="23.42578125" customWidth="1"/>
    <col min="31" max="31" width="17.140625" customWidth="1"/>
    <col min="32" max="32" width="20" customWidth="1"/>
    <col min="33" max="33" width="15.140625" customWidth="1"/>
    <col min="34" max="34" width="34.5703125" customWidth="1"/>
    <col min="35" max="35" width="44.42578125" customWidth="1"/>
    <col min="36" max="36" width="23.42578125" customWidth="1"/>
    <col min="37" max="37" width="37.5703125" customWidth="1"/>
    <col min="38" max="38" width="34.5703125" hidden="1" customWidth="1"/>
    <col min="39" max="39" width="12.42578125" hidden="1" customWidth="1"/>
    <col min="40" max="40" width="34.85546875" hidden="1" customWidth="1"/>
    <col min="41" max="41" width="12.42578125" hidden="1" customWidth="1"/>
    <col min="42" max="42" width="33.5703125" hidden="1" customWidth="1"/>
    <col min="43" max="43" width="0" hidden="1" customWidth="1"/>
    <col min="44" max="44" width="80.85546875" hidden="1" customWidth="1"/>
    <col min="45" max="45" width="16.85546875" customWidth="1"/>
    <col min="46" max="46" width="19.5703125" customWidth="1"/>
    <col min="47" max="47" width="18.42578125" customWidth="1"/>
    <col min="48" max="48" width="19.42578125" customWidth="1"/>
    <col min="49" max="49" width="18.5703125" customWidth="1"/>
    <col min="50" max="50" width="18.85546875" customWidth="1"/>
    <col min="51" max="51" width="20.140625" customWidth="1"/>
    <col min="52" max="52" width="18.42578125" customWidth="1"/>
    <col min="53" max="54" width="18.85546875" customWidth="1"/>
    <col min="55" max="55" width="13.5703125" bestFit="1" customWidth="1"/>
  </cols>
  <sheetData>
    <row r="1" spans="1:56" ht="60.75" customHeight="1" x14ac:dyDescent="0.25">
      <c r="A1" s="1" t="s">
        <v>1073</v>
      </c>
      <c r="B1" s="1" t="s">
        <v>1468</v>
      </c>
      <c r="C1" s="70" t="s">
        <v>1144</v>
      </c>
      <c r="D1" s="1" t="s">
        <v>964</v>
      </c>
      <c r="E1" s="1" t="s">
        <v>1151</v>
      </c>
      <c r="F1" s="1" t="s">
        <v>0</v>
      </c>
      <c r="G1" s="1" t="s">
        <v>1145</v>
      </c>
      <c r="H1" s="1" t="s">
        <v>911</v>
      </c>
      <c r="I1" s="1" t="s">
        <v>1432</v>
      </c>
      <c r="J1" s="1" t="s">
        <v>1254</v>
      </c>
      <c r="K1" s="1" t="s">
        <v>1434</v>
      </c>
      <c r="L1" s="1" t="s">
        <v>1435</v>
      </c>
      <c r="M1" s="1" t="s">
        <v>1255</v>
      </c>
      <c r="N1" s="1" t="s">
        <v>1438</v>
      </c>
      <c r="O1" s="1" t="s">
        <v>1439</v>
      </c>
      <c r="P1" s="1" t="s">
        <v>1448</v>
      </c>
      <c r="Q1" s="1" t="s">
        <v>1441</v>
      </c>
      <c r="R1" s="1" t="s">
        <v>1442</v>
      </c>
      <c r="S1" s="1" t="s">
        <v>1256</v>
      </c>
      <c r="T1" s="1" t="s">
        <v>1443</v>
      </c>
      <c r="U1" s="55" t="s">
        <v>1455</v>
      </c>
      <c r="V1" s="1" t="s">
        <v>1444</v>
      </c>
      <c r="W1" s="1" t="s">
        <v>1445</v>
      </c>
      <c r="X1" s="1" t="s">
        <v>1399</v>
      </c>
      <c r="Y1" s="1" t="s">
        <v>1146</v>
      </c>
      <c r="Z1" s="1" t="s">
        <v>1</v>
      </c>
      <c r="AA1" s="1" t="s">
        <v>1460</v>
      </c>
      <c r="AB1" s="1" t="s">
        <v>1449</v>
      </c>
      <c r="AC1" s="1" t="s">
        <v>1450</v>
      </c>
      <c r="AD1" s="1" t="s">
        <v>1147</v>
      </c>
      <c r="AE1" s="1" t="s">
        <v>1453</v>
      </c>
      <c r="AF1" s="1" t="s">
        <v>1454</v>
      </c>
      <c r="AG1" s="1" t="s">
        <v>1461</v>
      </c>
      <c r="AH1" s="2" t="s">
        <v>1148</v>
      </c>
      <c r="AI1" s="2" t="s">
        <v>1149</v>
      </c>
      <c r="AJ1" s="2" t="s">
        <v>1150</v>
      </c>
      <c r="AK1" s="2" t="s">
        <v>3</v>
      </c>
      <c r="AL1" s="1" t="s">
        <v>4</v>
      </c>
      <c r="AM1" s="1" t="s">
        <v>5</v>
      </c>
      <c r="AN1" s="1" t="s">
        <v>6</v>
      </c>
      <c r="AO1" s="1" t="s">
        <v>7</v>
      </c>
      <c r="AP1" s="1" t="s">
        <v>8</v>
      </c>
      <c r="AQ1" s="3" t="s">
        <v>9</v>
      </c>
      <c r="AR1" s="1" t="s">
        <v>10</v>
      </c>
      <c r="AS1" s="1" t="s">
        <v>11</v>
      </c>
      <c r="AT1" s="1" t="s">
        <v>12</v>
      </c>
      <c r="AU1" s="1" t="s">
        <v>13</v>
      </c>
      <c r="AV1" s="1" t="s">
        <v>14</v>
      </c>
      <c r="AW1" s="1" t="s">
        <v>15</v>
      </c>
      <c r="AX1" s="1" t="s">
        <v>16</v>
      </c>
      <c r="AY1" s="1" t="s">
        <v>17</v>
      </c>
      <c r="AZ1" s="1" t="s">
        <v>18</v>
      </c>
      <c r="BA1" s="1" t="s">
        <v>19</v>
      </c>
      <c r="BB1" s="1" t="s">
        <v>20</v>
      </c>
      <c r="BC1" s="1" t="s">
        <v>1141</v>
      </c>
      <c r="BD1" s="1" t="s">
        <v>1142</v>
      </c>
    </row>
    <row r="2" spans="1:56" s="287" customFormat="1" ht="17.25" x14ac:dyDescent="0.25">
      <c r="A2" s="279"/>
      <c r="B2" s="279"/>
      <c r="C2" s="280"/>
      <c r="D2" s="279"/>
      <c r="E2" s="281"/>
      <c r="F2" s="282"/>
      <c r="G2" s="282"/>
      <c r="H2" s="279"/>
      <c r="I2" s="283" t="s">
        <v>787</v>
      </c>
      <c r="J2" s="283" t="s">
        <v>1433</v>
      </c>
      <c r="K2" s="283" t="s">
        <v>1398</v>
      </c>
      <c r="L2" s="283" t="s">
        <v>1436</v>
      </c>
      <c r="M2" s="283" t="s">
        <v>1437</v>
      </c>
      <c r="N2" s="283" t="s">
        <v>1398</v>
      </c>
      <c r="O2" s="283" t="s">
        <v>789</v>
      </c>
      <c r="P2" s="283" t="s">
        <v>1440</v>
      </c>
      <c r="Q2" s="283" t="s">
        <v>1398</v>
      </c>
      <c r="R2" s="283" t="s">
        <v>789</v>
      </c>
      <c r="S2" s="283" t="s">
        <v>1447</v>
      </c>
      <c r="T2" s="283" t="s">
        <v>1398</v>
      </c>
      <c r="U2" s="284" t="s">
        <v>787</v>
      </c>
      <c r="V2" s="284" t="s">
        <v>1433</v>
      </c>
      <c r="W2" s="283" t="s">
        <v>1252</v>
      </c>
      <c r="X2" s="284" t="s">
        <v>1446</v>
      </c>
      <c r="Y2" s="283" t="s">
        <v>1398</v>
      </c>
      <c r="Z2" s="283" t="s">
        <v>1398</v>
      </c>
      <c r="AA2" s="283" t="s">
        <v>1398</v>
      </c>
      <c r="AB2" s="283" t="s">
        <v>790</v>
      </c>
      <c r="AC2" s="283"/>
      <c r="AD2" s="279" t="s">
        <v>790</v>
      </c>
      <c r="AE2" s="279" t="s">
        <v>1451</v>
      </c>
      <c r="AF2" s="279" t="s">
        <v>1452</v>
      </c>
      <c r="AG2" s="279" t="s">
        <v>1398</v>
      </c>
      <c r="AH2" s="285"/>
      <c r="AI2" s="285"/>
      <c r="AJ2" s="285"/>
      <c r="AK2" s="285"/>
      <c r="AL2" s="286"/>
      <c r="AM2" s="286"/>
      <c r="AN2" s="286"/>
      <c r="AO2" s="286"/>
      <c r="AP2" s="286"/>
      <c r="AQ2" s="281"/>
      <c r="AR2" s="279"/>
      <c r="AS2" s="286"/>
      <c r="AT2" s="286"/>
      <c r="AU2" s="286"/>
      <c r="AV2" s="286"/>
      <c r="AW2" s="286"/>
      <c r="AX2" s="286"/>
      <c r="AY2" s="286"/>
      <c r="AZ2" s="286"/>
      <c r="BA2" s="286"/>
      <c r="BB2" s="286"/>
      <c r="BC2" s="286"/>
      <c r="BD2" s="286"/>
    </row>
    <row r="3" spans="1:56" ht="90" x14ac:dyDescent="0.25">
      <c r="A3" s="4" t="s">
        <v>21</v>
      </c>
      <c r="B3" s="4"/>
      <c r="C3" s="4" t="s">
        <v>22</v>
      </c>
      <c r="D3" s="4" t="s">
        <v>23</v>
      </c>
      <c r="E3" s="5" t="s">
        <v>24</v>
      </c>
      <c r="F3" s="4" t="s">
        <v>25</v>
      </c>
      <c r="G3" s="4" t="s">
        <v>26</v>
      </c>
      <c r="H3" s="62" t="s">
        <v>1079</v>
      </c>
      <c r="I3" s="7">
        <v>36.65</v>
      </c>
      <c r="J3" s="7">
        <v>36.65</v>
      </c>
      <c r="K3" s="7">
        <v>0.75</v>
      </c>
      <c r="L3" s="7">
        <v>7.5999999999999998E-2</v>
      </c>
      <c r="M3" s="64">
        <v>7.5999999999999998E-2</v>
      </c>
      <c r="N3" s="7">
        <v>0.75</v>
      </c>
      <c r="O3" s="7">
        <v>0</v>
      </c>
      <c r="P3" s="7">
        <v>0</v>
      </c>
      <c r="Q3" s="7">
        <v>0.75</v>
      </c>
      <c r="R3" s="7">
        <v>0</v>
      </c>
      <c r="S3" s="7">
        <v>0</v>
      </c>
      <c r="T3" s="7">
        <v>1</v>
      </c>
      <c r="U3" s="12"/>
      <c r="V3" s="12"/>
      <c r="W3" s="7" t="s">
        <v>27</v>
      </c>
      <c r="X3" s="12"/>
      <c r="Y3" s="7">
        <v>8</v>
      </c>
      <c r="Z3" s="7">
        <v>8</v>
      </c>
      <c r="AA3" s="7">
        <v>1</v>
      </c>
      <c r="AB3" s="7">
        <v>215000</v>
      </c>
      <c r="AC3" s="7">
        <v>1</v>
      </c>
      <c r="AD3" s="4">
        <f>2.25*365</f>
        <v>821.25</v>
      </c>
      <c r="AE3" s="13">
        <f>1/technologies[[#This Row],[Maintance]]</f>
        <v>1.2176560121765602E-3</v>
      </c>
      <c r="AF3" s="13"/>
      <c r="AG3" s="4">
        <v>0.75</v>
      </c>
      <c r="AH3" s="9" t="s">
        <v>28</v>
      </c>
      <c r="AI3" s="9" t="s">
        <v>29</v>
      </c>
      <c r="AJ3" s="9"/>
      <c r="AK3" s="9" t="s">
        <v>30</v>
      </c>
      <c r="AL3" s="10"/>
      <c r="AM3" s="10"/>
      <c r="AN3" s="10"/>
      <c r="AO3" s="10"/>
      <c r="AP3" s="10"/>
      <c r="AQ3" s="11" t="s">
        <v>31</v>
      </c>
      <c r="AR3" s="4" t="s">
        <v>32</v>
      </c>
      <c r="AS3" s="10" t="s">
        <v>855</v>
      </c>
      <c r="AT3" s="10"/>
      <c r="AU3" s="10"/>
      <c r="AV3" s="10"/>
      <c r="AW3" s="10"/>
      <c r="AX3" s="10"/>
      <c r="AY3" s="10"/>
      <c r="AZ3" s="10"/>
      <c r="BA3" s="10"/>
      <c r="BB3" s="10"/>
      <c r="BC3" s="10">
        <v>293</v>
      </c>
      <c r="BD3" s="10">
        <v>101</v>
      </c>
    </row>
    <row r="4" spans="1:56" ht="90" x14ac:dyDescent="0.25">
      <c r="A4" s="4" t="s">
        <v>989</v>
      </c>
      <c r="B4" s="4" t="s">
        <v>1469</v>
      </c>
      <c r="C4" s="4" t="s">
        <v>22</v>
      </c>
      <c r="D4" s="4" t="s">
        <v>116</v>
      </c>
      <c r="E4" s="5" t="s">
        <v>34</v>
      </c>
      <c r="F4" s="4"/>
      <c r="G4" s="4" t="s">
        <v>35</v>
      </c>
      <c r="H4" s="62" t="s">
        <v>1078</v>
      </c>
      <c r="I4" s="7" t="s">
        <v>36</v>
      </c>
      <c r="J4" s="7">
        <v>60</v>
      </c>
      <c r="K4" s="7">
        <v>0.75</v>
      </c>
      <c r="L4" s="7">
        <v>0.3</v>
      </c>
      <c r="M4" s="64">
        <v>9.9999999999999992E-2</v>
      </c>
      <c r="N4" s="7">
        <v>0.75</v>
      </c>
      <c r="O4" s="7">
        <v>150</v>
      </c>
      <c r="P4" s="7">
        <v>50</v>
      </c>
      <c r="Q4" s="7">
        <v>0.75</v>
      </c>
      <c r="R4" s="7" t="s">
        <v>1080</v>
      </c>
      <c r="S4" s="12">
        <v>133.33333333333331</v>
      </c>
      <c r="T4" s="7">
        <v>0.75</v>
      </c>
      <c r="U4" s="12">
        <v>52.260000000000005</v>
      </c>
      <c r="V4" s="12">
        <v>52.260000000000005</v>
      </c>
      <c r="W4" s="7">
        <v>90</v>
      </c>
      <c r="X4" s="12">
        <v>0</v>
      </c>
      <c r="Y4" s="7" t="s">
        <v>39</v>
      </c>
      <c r="Z4" s="7">
        <v>3</v>
      </c>
      <c r="AA4" s="7">
        <v>1</v>
      </c>
      <c r="AB4" s="7"/>
      <c r="AC4" s="7"/>
      <c r="AD4" s="4" t="s">
        <v>1168</v>
      </c>
      <c r="AE4" s="4">
        <f>1/(20)</f>
        <v>0.05</v>
      </c>
      <c r="AF4" s="4"/>
      <c r="AG4" s="4"/>
      <c r="AH4" s="9" t="s">
        <v>40</v>
      </c>
      <c r="AI4" s="9" t="s">
        <v>41</v>
      </c>
      <c r="AJ4" s="9" t="s">
        <v>42</v>
      </c>
      <c r="AK4" s="9" t="s">
        <v>43</v>
      </c>
      <c r="AL4" s="10" t="s">
        <v>44</v>
      </c>
      <c r="AM4" s="10" t="s">
        <v>995</v>
      </c>
      <c r="AN4" s="10"/>
      <c r="AO4" s="10" t="s">
        <v>996</v>
      </c>
      <c r="AP4" s="10"/>
      <c r="AQ4" s="11" t="s">
        <v>45</v>
      </c>
      <c r="AR4" s="4"/>
      <c r="AS4" s="10" t="s">
        <v>856</v>
      </c>
      <c r="AT4" s="10" t="s">
        <v>857</v>
      </c>
      <c r="AU4" s="10" t="s">
        <v>1082</v>
      </c>
      <c r="AV4" s="10"/>
      <c r="AW4" s="10"/>
      <c r="AX4" s="10"/>
      <c r="AY4" s="10"/>
      <c r="AZ4" s="10"/>
      <c r="BA4" s="10"/>
      <c r="BB4" s="10"/>
      <c r="BC4" s="10" t="s">
        <v>37</v>
      </c>
      <c r="BD4" s="10" t="s">
        <v>38</v>
      </c>
    </row>
    <row r="5" spans="1:56" ht="221.45" customHeight="1" x14ac:dyDescent="0.25">
      <c r="A5" s="4" t="s">
        <v>988</v>
      </c>
      <c r="B5" s="4" t="s">
        <v>657</v>
      </c>
      <c r="C5" s="4" t="s">
        <v>46</v>
      </c>
      <c r="D5" s="4" t="s">
        <v>1160</v>
      </c>
      <c r="E5" s="5" t="s">
        <v>24</v>
      </c>
      <c r="F5" s="4" t="s">
        <v>48</v>
      </c>
      <c r="G5" s="4" t="s">
        <v>35</v>
      </c>
      <c r="H5" s="62" t="s">
        <v>1084</v>
      </c>
      <c r="I5" s="7" t="s">
        <v>1085</v>
      </c>
      <c r="J5" s="12">
        <v>23.787717801047119</v>
      </c>
      <c r="K5" s="7">
        <v>0.5</v>
      </c>
      <c r="L5" s="7" t="s">
        <v>1086</v>
      </c>
      <c r="M5" s="64">
        <v>7.8767277486910994E-2</v>
      </c>
      <c r="N5" s="7">
        <v>0.5</v>
      </c>
      <c r="O5" s="7" t="s">
        <v>49</v>
      </c>
      <c r="P5" s="12">
        <v>302.99146073298431</v>
      </c>
      <c r="Q5" s="7">
        <v>0.5</v>
      </c>
      <c r="R5" s="7" t="s">
        <v>50</v>
      </c>
      <c r="S5" s="8">
        <v>303.51657591623035</v>
      </c>
      <c r="T5" s="7">
        <v>0.5</v>
      </c>
      <c r="U5" s="12">
        <v>14.569977153141361</v>
      </c>
      <c r="V5" s="12">
        <v>14.569977153141361</v>
      </c>
      <c r="W5" s="7" t="s">
        <v>52</v>
      </c>
      <c r="X5" s="12">
        <v>3.72831780104712E-2</v>
      </c>
      <c r="Y5" s="7" t="s">
        <v>53</v>
      </c>
      <c r="Z5" s="7">
        <v>5</v>
      </c>
      <c r="AA5" s="7">
        <v>1</v>
      </c>
      <c r="AB5" s="7">
        <v>20000</v>
      </c>
      <c r="AC5" s="7">
        <v>0.5</v>
      </c>
      <c r="AD5" s="62" t="s">
        <v>54</v>
      </c>
      <c r="AE5" s="13">
        <f>207/9*Crew_Size/500*Mission_Duration</f>
        <v>138</v>
      </c>
      <c r="AF5" s="13"/>
      <c r="AG5" s="4">
        <v>0.5</v>
      </c>
      <c r="AH5" s="9" t="s">
        <v>55</v>
      </c>
      <c r="AI5" s="9" t="s">
        <v>56</v>
      </c>
      <c r="AJ5" s="9" t="s">
        <v>57</v>
      </c>
      <c r="AK5" s="9" t="s">
        <v>58</v>
      </c>
      <c r="AL5" s="10"/>
      <c r="AM5" s="10"/>
      <c r="AN5" s="10"/>
      <c r="AO5" s="10"/>
      <c r="AP5" s="10"/>
      <c r="AQ5" s="11" t="s">
        <v>59</v>
      </c>
      <c r="AR5" s="4" t="s">
        <v>60</v>
      </c>
      <c r="AS5" s="10" t="s">
        <v>861</v>
      </c>
      <c r="AT5" s="10"/>
      <c r="AU5" s="10"/>
      <c r="AV5" s="10" t="s">
        <v>860</v>
      </c>
      <c r="AW5" s="10"/>
      <c r="AX5" s="10"/>
      <c r="AY5" s="10"/>
      <c r="AZ5" s="10"/>
      <c r="BA5" s="10"/>
      <c r="BB5" s="10"/>
      <c r="BC5" s="10" t="s">
        <v>51</v>
      </c>
      <c r="BD5" s="10">
        <v>103.4</v>
      </c>
    </row>
    <row r="6" spans="1:56" ht="60" x14ac:dyDescent="0.25">
      <c r="A6" s="4" t="s">
        <v>61</v>
      </c>
      <c r="B6" s="4"/>
      <c r="C6" s="4" t="s">
        <v>22</v>
      </c>
      <c r="D6" s="4" t="s">
        <v>62</v>
      </c>
      <c r="E6" s="5" t="s">
        <v>34</v>
      </c>
      <c r="F6" s="6"/>
      <c r="G6" s="4" t="s">
        <v>26</v>
      </c>
      <c r="H6" s="4" t="s">
        <v>63</v>
      </c>
      <c r="I6" s="7"/>
      <c r="J6" s="7"/>
      <c r="K6" s="7"/>
      <c r="L6" s="7"/>
      <c r="M6" s="64"/>
      <c r="N6" s="7"/>
      <c r="O6" s="7"/>
      <c r="P6" s="7"/>
      <c r="Q6" s="7"/>
      <c r="R6" s="7"/>
      <c r="S6" s="7"/>
      <c r="T6" s="7"/>
      <c r="U6" s="12"/>
      <c r="V6" s="12"/>
      <c r="W6" s="7"/>
      <c r="X6" s="12"/>
      <c r="Y6" s="7"/>
      <c r="Z6" s="7"/>
      <c r="AA6" s="7"/>
      <c r="AB6" s="7"/>
      <c r="AC6" s="7"/>
      <c r="AD6" s="4"/>
      <c r="AE6" s="4"/>
      <c r="AF6" s="4"/>
      <c r="AG6" s="4"/>
      <c r="AH6" s="9"/>
      <c r="AI6" s="9" t="s">
        <v>64</v>
      </c>
      <c r="AJ6" s="9"/>
      <c r="AK6" s="9" t="s">
        <v>30</v>
      </c>
      <c r="AL6" s="10"/>
      <c r="AM6" s="10"/>
      <c r="AN6" s="10"/>
      <c r="AO6" s="10"/>
      <c r="AP6" s="10"/>
      <c r="AQ6" s="11">
        <v>1</v>
      </c>
      <c r="AR6" s="4"/>
      <c r="AS6" s="10"/>
      <c r="AT6" s="10"/>
      <c r="AU6" s="10" t="s">
        <v>857</v>
      </c>
      <c r="AV6" s="10"/>
      <c r="AW6" s="10"/>
      <c r="AX6" s="10"/>
      <c r="AY6" s="10"/>
      <c r="AZ6" s="10"/>
      <c r="BA6" s="10"/>
      <c r="BB6" s="10"/>
      <c r="BC6" s="10"/>
      <c r="BD6" s="10"/>
    </row>
    <row r="7" spans="1:56" ht="30" x14ac:dyDescent="0.25">
      <c r="A7" s="4" t="s">
        <v>65</v>
      </c>
      <c r="B7" s="4"/>
      <c r="C7" s="4" t="s">
        <v>66</v>
      </c>
      <c r="D7" s="4" t="s">
        <v>23</v>
      </c>
      <c r="E7" s="5" t="s">
        <v>34</v>
      </c>
      <c r="F7" s="6"/>
      <c r="G7" s="4" t="s">
        <v>67</v>
      </c>
      <c r="H7" s="4" t="s">
        <v>1118</v>
      </c>
      <c r="I7" s="7">
        <v>119.4</v>
      </c>
      <c r="J7" s="7">
        <v>119.4</v>
      </c>
      <c r="K7" s="7">
        <v>0.75</v>
      </c>
      <c r="L7" s="7">
        <v>0.26</v>
      </c>
      <c r="M7" s="64">
        <v>0.26</v>
      </c>
      <c r="N7" s="7">
        <v>0.75</v>
      </c>
      <c r="O7" s="7">
        <v>70.5</v>
      </c>
      <c r="P7" s="7">
        <v>70.5</v>
      </c>
      <c r="Q7" s="7">
        <v>0.75</v>
      </c>
      <c r="R7" s="7">
        <v>70.5</v>
      </c>
      <c r="S7" s="7">
        <v>70.5</v>
      </c>
      <c r="T7" s="7">
        <v>0.75</v>
      </c>
      <c r="U7" s="12"/>
      <c r="V7" s="12"/>
      <c r="W7" s="7"/>
      <c r="X7" s="12"/>
      <c r="Y7" s="7"/>
      <c r="Z7" s="7"/>
      <c r="AA7" s="7"/>
      <c r="AB7" s="7"/>
      <c r="AC7" s="7"/>
      <c r="AD7" s="4"/>
      <c r="AE7" s="4"/>
      <c r="AF7" s="4"/>
      <c r="AG7" s="4"/>
      <c r="AH7" s="9"/>
      <c r="AI7" s="9"/>
      <c r="AJ7" s="9"/>
      <c r="AK7" s="9" t="s">
        <v>30</v>
      </c>
      <c r="AL7" s="10"/>
      <c r="AM7" s="10"/>
      <c r="AN7" s="10"/>
      <c r="AO7" s="10"/>
      <c r="AP7" s="10"/>
      <c r="AQ7" s="11">
        <v>14</v>
      </c>
      <c r="AR7" s="4" t="s">
        <v>32</v>
      </c>
      <c r="AS7" s="10" t="s">
        <v>68</v>
      </c>
      <c r="AT7" s="10"/>
      <c r="AU7" s="10"/>
      <c r="AV7" s="10"/>
      <c r="AW7" s="10"/>
      <c r="AX7" s="10"/>
      <c r="AY7" s="10"/>
      <c r="AZ7" s="10"/>
      <c r="BA7" s="10"/>
      <c r="BB7" s="10"/>
      <c r="BC7" s="10"/>
      <c r="BD7" s="10"/>
    </row>
    <row r="8" spans="1:56" ht="60" x14ac:dyDescent="0.25">
      <c r="A8" s="4" t="s">
        <v>69</v>
      </c>
      <c r="B8" s="4" t="s">
        <v>1470</v>
      </c>
      <c r="C8" s="4" t="s">
        <v>70</v>
      </c>
      <c r="D8" s="4" t="s">
        <v>23</v>
      </c>
      <c r="E8" s="5" t="s">
        <v>34</v>
      </c>
      <c r="F8" s="6"/>
      <c r="G8" s="4" t="s">
        <v>35</v>
      </c>
      <c r="H8" s="4" t="s">
        <v>1179</v>
      </c>
      <c r="I8" s="7" t="s">
        <v>717</v>
      </c>
      <c r="J8" s="7">
        <v>12.519</v>
      </c>
      <c r="K8" s="7">
        <v>1</v>
      </c>
      <c r="L8" s="7" t="s">
        <v>718</v>
      </c>
      <c r="M8" s="64">
        <v>0.03</v>
      </c>
      <c r="N8" s="7">
        <v>1</v>
      </c>
      <c r="O8" s="7" t="s">
        <v>71</v>
      </c>
      <c r="P8" s="7">
        <v>175</v>
      </c>
      <c r="Q8" s="7">
        <v>1</v>
      </c>
      <c r="R8" s="7" t="s">
        <v>72</v>
      </c>
      <c r="S8" s="7">
        <v>175</v>
      </c>
      <c r="T8" s="7">
        <v>1</v>
      </c>
      <c r="U8" s="12">
        <v>7.7617799999999999</v>
      </c>
      <c r="V8" s="12">
        <v>7.7617799999999999</v>
      </c>
      <c r="W8" s="7"/>
      <c r="X8" s="12"/>
      <c r="Y8" s="7"/>
      <c r="Z8" s="7"/>
      <c r="AA8" s="7"/>
      <c r="AB8" s="7"/>
      <c r="AC8" s="7"/>
      <c r="AD8" s="4"/>
      <c r="AE8" s="4"/>
      <c r="AF8" s="4"/>
      <c r="AG8" s="4"/>
      <c r="AH8" s="9"/>
      <c r="AI8" s="9"/>
      <c r="AJ8" s="9"/>
      <c r="AK8" s="9" t="s">
        <v>30</v>
      </c>
      <c r="AL8" s="10"/>
      <c r="AM8" s="10"/>
      <c r="AN8" s="10"/>
      <c r="AO8" s="10"/>
      <c r="AP8" s="10"/>
      <c r="AQ8" s="11" t="s">
        <v>73</v>
      </c>
      <c r="AR8" s="4" t="s">
        <v>32</v>
      </c>
      <c r="AS8" s="10" t="s">
        <v>862</v>
      </c>
      <c r="AT8" s="10" t="s">
        <v>863</v>
      </c>
      <c r="AU8" s="10"/>
      <c r="AV8" s="10"/>
      <c r="AW8" s="10"/>
      <c r="AX8" s="10"/>
      <c r="AY8" s="10"/>
      <c r="AZ8" s="10"/>
      <c r="BA8" s="10"/>
      <c r="BB8" s="10"/>
      <c r="BC8" s="10"/>
      <c r="BD8" s="10"/>
    </row>
    <row r="9" spans="1:56" ht="270" x14ac:dyDescent="0.25">
      <c r="A9" s="4" t="s">
        <v>74</v>
      </c>
      <c r="B9" s="4" t="s">
        <v>1471</v>
      </c>
      <c r="C9" s="4" t="s">
        <v>70</v>
      </c>
      <c r="D9" s="4" t="s">
        <v>23</v>
      </c>
      <c r="E9" s="5" t="s">
        <v>24</v>
      </c>
      <c r="F9" s="6"/>
      <c r="G9" s="4" t="s">
        <v>35</v>
      </c>
      <c r="H9" s="62" t="s">
        <v>75</v>
      </c>
      <c r="I9" s="7">
        <v>26.36</v>
      </c>
      <c r="J9" s="7">
        <v>26.36</v>
      </c>
      <c r="K9" s="7">
        <v>0.75</v>
      </c>
      <c r="L9" s="7">
        <v>1.8780999999999999E-2</v>
      </c>
      <c r="M9" s="64">
        <v>1.8780999999999999E-2</v>
      </c>
      <c r="N9" s="7">
        <v>0.75</v>
      </c>
      <c r="O9" s="7">
        <v>0</v>
      </c>
      <c r="P9" s="7">
        <v>0</v>
      </c>
      <c r="Q9" s="7">
        <v>1</v>
      </c>
      <c r="R9" s="7">
        <v>0</v>
      </c>
      <c r="S9" s="7">
        <v>0</v>
      </c>
      <c r="T9" s="7">
        <v>1</v>
      </c>
      <c r="U9" s="12">
        <v>16.3432</v>
      </c>
      <c r="V9" s="12">
        <v>16.3432</v>
      </c>
      <c r="W9" s="7">
        <v>99.97</v>
      </c>
      <c r="X9" s="12"/>
      <c r="Y9" s="7" t="s">
        <v>76</v>
      </c>
      <c r="Z9" s="7">
        <v>9</v>
      </c>
      <c r="AA9" s="7">
        <v>1</v>
      </c>
      <c r="AB9" s="7">
        <f>2*10^8</f>
        <v>200000000</v>
      </c>
      <c r="AC9" s="7">
        <v>0.75</v>
      </c>
      <c r="AD9" s="62" t="s">
        <v>77</v>
      </c>
      <c r="AE9" s="13">
        <f>1/(2*365)+2*Mission_Duration/7</f>
        <v>171.42994129158512</v>
      </c>
      <c r="AF9" s="13"/>
      <c r="AG9" s="4">
        <v>0.75</v>
      </c>
      <c r="AH9" s="9" t="s">
        <v>28</v>
      </c>
      <c r="AI9" s="9"/>
      <c r="AJ9" s="9" t="s">
        <v>78</v>
      </c>
      <c r="AK9" s="9" t="s">
        <v>30</v>
      </c>
      <c r="AL9" s="10"/>
      <c r="AM9" s="10"/>
      <c r="AN9" s="10"/>
      <c r="AO9" s="10"/>
      <c r="AP9" s="10"/>
      <c r="AQ9" s="11" t="s">
        <v>79</v>
      </c>
      <c r="AR9" s="4" t="s">
        <v>80</v>
      </c>
      <c r="AS9" s="10" t="s">
        <v>946</v>
      </c>
      <c r="AT9" s="10" t="s">
        <v>947</v>
      </c>
      <c r="AU9" s="10" t="s">
        <v>871</v>
      </c>
      <c r="AV9" s="10" t="s">
        <v>956</v>
      </c>
      <c r="AW9" s="10"/>
      <c r="AX9" s="10"/>
      <c r="AY9" s="10"/>
      <c r="AZ9" s="10"/>
      <c r="BA9" s="10"/>
      <c r="BB9" s="10"/>
      <c r="BC9" s="10">
        <v>293</v>
      </c>
      <c r="BD9" s="10">
        <v>101</v>
      </c>
    </row>
    <row r="10" spans="1:56" ht="30" x14ac:dyDescent="0.25">
      <c r="A10" s="4" t="s">
        <v>81</v>
      </c>
      <c r="B10" s="4"/>
      <c r="C10" s="4" t="s">
        <v>22</v>
      </c>
      <c r="D10" s="4" t="s">
        <v>23</v>
      </c>
      <c r="E10" s="5" t="s">
        <v>34</v>
      </c>
      <c r="F10" s="6" t="s">
        <v>25</v>
      </c>
      <c r="G10" s="6" t="s">
        <v>26</v>
      </c>
      <c r="H10" s="4" t="s">
        <v>1087</v>
      </c>
      <c r="I10" s="7">
        <v>2.9392</v>
      </c>
      <c r="J10" s="7">
        <v>2.9392</v>
      </c>
      <c r="K10" s="7">
        <v>0.75</v>
      </c>
      <c r="L10" s="7">
        <v>5.8989999999999997E-3</v>
      </c>
      <c r="M10" s="64">
        <v>5.8989999999999997E-3</v>
      </c>
      <c r="N10" s="7">
        <v>0.75</v>
      </c>
      <c r="O10" s="7"/>
      <c r="P10" s="7">
        <v>0</v>
      </c>
      <c r="Q10" s="7">
        <v>0.5</v>
      </c>
      <c r="R10" s="7">
        <v>34.5</v>
      </c>
      <c r="S10" s="7">
        <v>34.5</v>
      </c>
      <c r="T10" s="7">
        <v>0.75</v>
      </c>
      <c r="U10" s="12"/>
      <c r="V10" s="12"/>
      <c r="W10" s="7"/>
      <c r="X10" s="12"/>
      <c r="Y10" s="7">
        <v>8</v>
      </c>
      <c r="Z10" s="7">
        <v>8</v>
      </c>
      <c r="AA10" s="7">
        <v>0.75</v>
      </c>
      <c r="AB10" s="7">
        <v>121500</v>
      </c>
      <c r="AC10" s="7">
        <v>0.75</v>
      </c>
      <c r="AD10" s="4"/>
      <c r="AE10" s="4"/>
      <c r="AF10" s="4"/>
      <c r="AG10" s="4"/>
      <c r="AH10" s="9"/>
      <c r="AI10" s="9"/>
      <c r="AJ10" s="9"/>
      <c r="AK10" s="9" t="s">
        <v>30</v>
      </c>
      <c r="AL10" s="10"/>
      <c r="AM10" s="10"/>
      <c r="AN10" s="10"/>
      <c r="AO10" s="10"/>
      <c r="AP10" s="10"/>
      <c r="AQ10" s="11">
        <v>10</v>
      </c>
      <c r="AR10" s="4" t="s">
        <v>32</v>
      </c>
      <c r="AS10" s="10"/>
      <c r="AT10" s="10"/>
      <c r="AU10" s="10"/>
      <c r="AV10" s="10"/>
      <c r="AW10" s="10"/>
      <c r="AX10" s="10"/>
      <c r="AY10" s="10"/>
      <c r="AZ10" s="10"/>
      <c r="BA10" s="10"/>
      <c r="BB10" s="10"/>
      <c r="BC10" s="10"/>
      <c r="BD10" s="10"/>
    </row>
    <row r="11" spans="1:56" ht="225" x14ac:dyDescent="0.25">
      <c r="A11" s="4" t="s">
        <v>82</v>
      </c>
      <c r="B11" s="4" t="s">
        <v>672</v>
      </c>
      <c r="C11" s="4" t="s">
        <v>22</v>
      </c>
      <c r="D11" s="4" t="s">
        <v>116</v>
      </c>
      <c r="E11" s="5" t="s">
        <v>34</v>
      </c>
      <c r="F11" s="4"/>
      <c r="G11" s="6" t="s">
        <v>35</v>
      </c>
      <c r="H11" s="62" t="s">
        <v>83</v>
      </c>
      <c r="I11" s="7" t="s">
        <v>719</v>
      </c>
      <c r="J11" s="12">
        <v>56.768591249999993</v>
      </c>
      <c r="K11" s="7">
        <v>0.75</v>
      </c>
      <c r="L11" s="7" t="s">
        <v>720</v>
      </c>
      <c r="M11" s="64">
        <v>8.741249999999999E-2</v>
      </c>
      <c r="N11" s="7">
        <v>0.75</v>
      </c>
      <c r="O11" s="7" t="s">
        <v>1273</v>
      </c>
      <c r="P11" s="8">
        <v>91.200374999999994</v>
      </c>
      <c r="Q11" s="7">
        <v>1</v>
      </c>
      <c r="R11" s="7" t="s">
        <v>84</v>
      </c>
      <c r="S11" s="8">
        <v>276.80624999999998</v>
      </c>
      <c r="T11" s="7">
        <v>0.5</v>
      </c>
      <c r="U11" s="12">
        <v>45.641947364999993</v>
      </c>
      <c r="V11" s="12">
        <v>45.641947364999993</v>
      </c>
      <c r="W11" s="7">
        <v>100</v>
      </c>
      <c r="X11" s="12">
        <v>0</v>
      </c>
      <c r="Y11" s="7" t="s">
        <v>86</v>
      </c>
      <c r="Z11" s="7">
        <v>6</v>
      </c>
      <c r="AA11" s="7">
        <v>0.75</v>
      </c>
      <c r="AB11" s="7">
        <f>10^5</f>
        <v>100000</v>
      </c>
      <c r="AC11" s="7">
        <v>0.75</v>
      </c>
      <c r="AD11" s="4" t="s">
        <v>87</v>
      </c>
      <c r="AE11" s="13">
        <f>Mission_Duration*Crew_Size/20*8/60</f>
        <v>20</v>
      </c>
      <c r="AF11" s="13"/>
      <c r="AG11" s="4">
        <v>0.25</v>
      </c>
      <c r="AH11" s="9" t="s">
        <v>88</v>
      </c>
      <c r="AI11" s="9" t="s">
        <v>89</v>
      </c>
      <c r="AJ11" s="9" t="s">
        <v>90</v>
      </c>
      <c r="AK11" s="9" t="s">
        <v>91</v>
      </c>
      <c r="AL11" s="10" t="s">
        <v>92</v>
      </c>
      <c r="AM11" s="10" t="s">
        <v>93</v>
      </c>
      <c r="AN11" s="10" t="s">
        <v>94</v>
      </c>
      <c r="AO11" s="10" t="s">
        <v>95</v>
      </c>
      <c r="AP11" s="10" t="s">
        <v>96</v>
      </c>
      <c r="AQ11" s="11" t="s">
        <v>97</v>
      </c>
      <c r="AR11" s="4" t="s">
        <v>98</v>
      </c>
      <c r="AS11" s="10"/>
      <c r="AT11" s="10" t="s">
        <v>856</v>
      </c>
      <c r="AU11" s="10" t="s">
        <v>1082</v>
      </c>
      <c r="AV11" s="10"/>
      <c r="AW11" s="10"/>
      <c r="AX11" s="10"/>
      <c r="AY11" s="10"/>
      <c r="AZ11" s="10"/>
      <c r="BA11" s="10"/>
      <c r="BB11" s="10"/>
      <c r="BC11" s="10" t="s">
        <v>85</v>
      </c>
      <c r="BD11" s="10">
        <v>130</v>
      </c>
    </row>
    <row r="12" spans="1:56" ht="29.1" customHeight="1" x14ac:dyDescent="0.25">
      <c r="A12" s="4" t="s">
        <v>99</v>
      </c>
      <c r="B12" s="4"/>
      <c r="C12" s="4" t="s">
        <v>70</v>
      </c>
      <c r="D12" s="4" t="s">
        <v>23</v>
      </c>
      <c r="E12" s="5" t="s">
        <v>34</v>
      </c>
      <c r="F12" s="6"/>
      <c r="G12" s="4" t="s">
        <v>26</v>
      </c>
      <c r="H12" s="4" t="s">
        <v>1088</v>
      </c>
      <c r="I12" s="12">
        <v>0.82</v>
      </c>
      <c r="J12" s="12">
        <v>0.82</v>
      </c>
      <c r="K12" s="12">
        <v>0.75</v>
      </c>
      <c r="L12" s="12">
        <v>3.398E-3</v>
      </c>
      <c r="M12" s="64">
        <f>technologies[[#This Row],[Volume
Literature]]</f>
        <v>3.398E-3</v>
      </c>
      <c r="N12" s="12">
        <v>0.75</v>
      </c>
      <c r="O12" s="7"/>
      <c r="P12" s="7"/>
      <c r="Q12" s="7"/>
      <c r="R12" s="7"/>
      <c r="S12" s="7"/>
      <c r="T12" s="7"/>
      <c r="U12" s="12"/>
      <c r="V12" s="12"/>
      <c r="W12" s="7"/>
      <c r="X12" s="12"/>
      <c r="Y12" s="7"/>
      <c r="Z12" s="7"/>
      <c r="AA12" s="7"/>
      <c r="AB12" s="7"/>
      <c r="AC12" s="7"/>
      <c r="AD12" s="4"/>
      <c r="AE12" s="4"/>
      <c r="AF12" s="4"/>
      <c r="AG12" s="4"/>
      <c r="AH12" s="9"/>
      <c r="AI12" s="9"/>
      <c r="AJ12" s="9"/>
      <c r="AK12" s="9" t="s">
        <v>30</v>
      </c>
      <c r="AL12" s="10"/>
      <c r="AM12" s="10"/>
      <c r="AN12" s="10"/>
      <c r="AO12" s="10"/>
      <c r="AP12" s="10"/>
      <c r="AQ12" s="11">
        <v>10</v>
      </c>
      <c r="AR12" s="4" t="s">
        <v>32</v>
      </c>
      <c r="AS12" s="10" t="s">
        <v>866</v>
      </c>
      <c r="AT12" s="10" t="s">
        <v>961</v>
      </c>
      <c r="AU12" s="10"/>
      <c r="AV12" s="10"/>
      <c r="AW12" s="10"/>
      <c r="AX12" s="10"/>
      <c r="AY12" s="10"/>
      <c r="AZ12" s="10"/>
      <c r="BA12" s="10"/>
      <c r="BB12" s="10"/>
      <c r="BC12" s="10"/>
      <c r="BD12" s="10"/>
    </row>
    <row r="13" spans="1:56" ht="27" customHeight="1" x14ac:dyDescent="0.25">
      <c r="A13" s="4" t="s">
        <v>100</v>
      </c>
      <c r="B13" s="4"/>
      <c r="C13" s="4" t="s">
        <v>66</v>
      </c>
      <c r="D13" s="4" t="s">
        <v>101</v>
      </c>
      <c r="E13" s="5" t="s">
        <v>34</v>
      </c>
      <c r="F13" s="4" t="s">
        <v>102</v>
      </c>
      <c r="G13" s="4" t="s">
        <v>26</v>
      </c>
      <c r="H13" s="4"/>
      <c r="I13" s="12">
        <v>0.33160000000000001</v>
      </c>
      <c r="J13" s="12">
        <v>0.33160000000000001</v>
      </c>
      <c r="K13" s="12">
        <v>0.75</v>
      </c>
      <c r="L13" s="12">
        <v>3.6900000000000002E-4</v>
      </c>
      <c r="M13" s="64"/>
      <c r="N13" s="12"/>
      <c r="O13" s="7"/>
      <c r="P13" s="7"/>
      <c r="Q13" s="7"/>
      <c r="R13" s="7"/>
      <c r="S13" s="7"/>
      <c r="T13" s="7"/>
      <c r="U13" s="12"/>
      <c r="V13" s="12"/>
      <c r="W13" s="7"/>
      <c r="X13" s="12"/>
      <c r="Y13" s="7"/>
      <c r="Z13" s="7"/>
      <c r="AA13" s="7"/>
      <c r="AB13" s="7"/>
      <c r="AC13" s="7"/>
      <c r="AD13" s="4"/>
      <c r="AE13" s="4"/>
      <c r="AF13" s="4"/>
      <c r="AG13" s="4"/>
      <c r="AH13" s="9"/>
      <c r="AI13" s="9"/>
      <c r="AJ13" s="9"/>
      <c r="AK13" s="9" t="s">
        <v>30</v>
      </c>
      <c r="AL13" s="10"/>
      <c r="AM13" s="10"/>
      <c r="AN13" s="10"/>
      <c r="AO13" s="10"/>
      <c r="AP13" s="10"/>
      <c r="AQ13" s="11">
        <v>11</v>
      </c>
      <c r="AR13" s="4" t="s">
        <v>103</v>
      </c>
      <c r="AS13" s="10" t="s">
        <v>953</v>
      </c>
      <c r="AT13" s="10"/>
      <c r="AU13" s="10"/>
      <c r="AV13" s="10"/>
      <c r="AW13" s="10"/>
      <c r="AX13" s="10"/>
      <c r="AY13" s="10"/>
      <c r="AZ13" s="10"/>
      <c r="BA13" s="10"/>
      <c r="BB13" s="10"/>
      <c r="BC13" s="10"/>
      <c r="BD13" s="10"/>
    </row>
    <row r="14" spans="1:56" ht="240" x14ac:dyDescent="0.25">
      <c r="A14" s="4" t="s">
        <v>993</v>
      </c>
      <c r="B14" s="4" t="s">
        <v>1275</v>
      </c>
      <c r="C14" s="4" t="s">
        <v>22</v>
      </c>
      <c r="D14" s="4" t="s">
        <v>33</v>
      </c>
      <c r="E14" s="5" t="s">
        <v>24</v>
      </c>
      <c r="F14" s="4"/>
      <c r="G14" s="4" t="s">
        <v>35</v>
      </c>
      <c r="H14" s="62" t="s">
        <v>1089</v>
      </c>
      <c r="I14" s="12" t="s">
        <v>721</v>
      </c>
      <c r="J14" s="12">
        <v>77.66</v>
      </c>
      <c r="K14" s="12">
        <v>0.5</v>
      </c>
      <c r="L14" s="12" t="s">
        <v>722</v>
      </c>
      <c r="M14" s="64">
        <v>0.3</v>
      </c>
      <c r="N14" s="12">
        <v>0.5</v>
      </c>
      <c r="O14" s="7"/>
      <c r="P14" s="7">
        <v>12</v>
      </c>
      <c r="Q14" s="7">
        <v>0.25</v>
      </c>
      <c r="R14" s="7" t="s">
        <v>1267</v>
      </c>
      <c r="S14" s="7">
        <v>12</v>
      </c>
      <c r="T14" s="7">
        <v>0.5</v>
      </c>
      <c r="U14" s="12">
        <v>63.991840000000003</v>
      </c>
      <c r="V14" s="12">
        <v>63.991840000000003</v>
      </c>
      <c r="W14" s="7">
        <v>41</v>
      </c>
      <c r="X14" s="12">
        <v>0</v>
      </c>
      <c r="Y14" s="7">
        <v>7</v>
      </c>
      <c r="Z14" s="7">
        <v>9</v>
      </c>
      <c r="AA14" s="7">
        <v>1</v>
      </c>
      <c r="AB14" s="7">
        <v>100000</v>
      </c>
      <c r="AC14" s="7">
        <v>0.25</v>
      </c>
      <c r="AD14" s="4">
        <v>0</v>
      </c>
      <c r="AE14" s="4">
        <v>0</v>
      </c>
      <c r="AF14" s="4"/>
      <c r="AG14" s="4">
        <v>0.5</v>
      </c>
      <c r="AH14" s="9"/>
      <c r="AI14" s="9" t="s">
        <v>1130</v>
      </c>
      <c r="AJ14" s="9"/>
      <c r="AK14" s="9" t="s">
        <v>104</v>
      </c>
      <c r="AL14" s="10"/>
      <c r="AM14" s="10"/>
      <c r="AN14" s="10"/>
      <c r="AO14" s="10"/>
      <c r="AP14" s="10"/>
      <c r="AQ14" s="11" t="s">
        <v>105</v>
      </c>
      <c r="AR14" s="4"/>
      <c r="AS14" s="10" t="s">
        <v>905</v>
      </c>
      <c r="AT14" s="10"/>
      <c r="AU14" s="10" t="s">
        <v>948</v>
      </c>
      <c r="AV14" s="10" t="s">
        <v>903</v>
      </c>
      <c r="AW14" s="10" t="s">
        <v>1081</v>
      </c>
      <c r="AX14" s="10"/>
      <c r="AY14" s="10"/>
      <c r="AZ14" s="10"/>
      <c r="BA14" s="10"/>
      <c r="BB14" s="10"/>
      <c r="BC14" s="10">
        <f>26.8+263.15</f>
        <v>289.95</v>
      </c>
      <c r="BD14" s="10"/>
    </row>
    <row r="15" spans="1:56" ht="45" x14ac:dyDescent="0.25">
      <c r="A15" s="4" t="s">
        <v>106</v>
      </c>
      <c r="B15" s="4" t="s">
        <v>1623</v>
      </c>
      <c r="C15" s="4" t="s">
        <v>22</v>
      </c>
      <c r="D15" s="4" t="s">
        <v>23</v>
      </c>
      <c r="E15" s="5" t="s">
        <v>24</v>
      </c>
      <c r="F15" s="4" t="s">
        <v>25</v>
      </c>
      <c r="G15" s="4" t="s">
        <v>35</v>
      </c>
      <c r="H15" s="4" t="s">
        <v>1202</v>
      </c>
      <c r="I15" s="12">
        <v>11.05</v>
      </c>
      <c r="J15" s="12">
        <v>11.05</v>
      </c>
      <c r="K15" s="12">
        <v>0.75</v>
      </c>
      <c r="L15" s="12">
        <v>4.7289999999999997E-3</v>
      </c>
      <c r="M15" s="64">
        <f>technologies[[#This Row],[Volume
Literature]]</f>
        <v>4.7289999999999997E-3</v>
      </c>
      <c r="N15" s="12">
        <v>0.75</v>
      </c>
      <c r="O15" s="7"/>
      <c r="P15" s="7">
        <v>0</v>
      </c>
      <c r="Q15" s="7">
        <v>0.5</v>
      </c>
      <c r="R15" s="7">
        <v>0</v>
      </c>
      <c r="S15" s="7">
        <v>0</v>
      </c>
      <c r="T15" s="7">
        <v>0.75</v>
      </c>
      <c r="U15" s="12">
        <v>6.851</v>
      </c>
      <c r="V15" s="12">
        <v>6.851</v>
      </c>
      <c r="W15" s="7"/>
      <c r="X15" s="12"/>
      <c r="Y15" s="7"/>
      <c r="Z15" s="7"/>
      <c r="AA15" s="7"/>
      <c r="AB15" s="8">
        <f>1/(1.12*10^-5)</f>
        <v>89285.714285714275</v>
      </c>
      <c r="AC15" s="12">
        <v>0.75</v>
      </c>
      <c r="AD15" s="4"/>
      <c r="AE15" s="4"/>
      <c r="AF15" s="4"/>
      <c r="AG15" s="4"/>
      <c r="AH15" s="9"/>
      <c r="AI15" s="9"/>
      <c r="AJ15" s="9"/>
      <c r="AK15" s="9" t="s">
        <v>30</v>
      </c>
      <c r="AL15" s="10"/>
      <c r="AM15" s="10"/>
      <c r="AN15" s="10"/>
      <c r="AO15" s="10"/>
      <c r="AP15" s="10"/>
      <c r="AQ15" s="11" t="s">
        <v>107</v>
      </c>
      <c r="AR15" s="4" t="s">
        <v>108</v>
      </c>
      <c r="AS15" s="10" t="s">
        <v>855</v>
      </c>
      <c r="AT15" s="10"/>
      <c r="AU15" s="10"/>
      <c r="AV15" s="10"/>
      <c r="AW15" s="10"/>
      <c r="AX15" s="10"/>
      <c r="AY15" s="10"/>
      <c r="AZ15" s="10"/>
      <c r="BA15" s="10"/>
      <c r="BB15" s="10"/>
      <c r="BC15" s="10"/>
      <c r="BD15" s="10"/>
    </row>
    <row r="16" spans="1:56" ht="120" x14ac:dyDescent="0.25">
      <c r="A16" s="4" t="s">
        <v>109</v>
      </c>
      <c r="B16" s="4" t="s">
        <v>1472</v>
      </c>
      <c r="C16" s="4" t="s">
        <v>22</v>
      </c>
      <c r="D16" s="4" t="s">
        <v>23</v>
      </c>
      <c r="E16" s="5" t="s">
        <v>24</v>
      </c>
      <c r="F16" s="4" t="s">
        <v>25</v>
      </c>
      <c r="G16" s="4" t="s">
        <v>35</v>
      </c>
      <c r="H16" s="62" t="s">
        <v>997</v>
      </c>
      <c r="I16" s="12">
        <v>11.0449</v>
      </c>
      <c r="J16" s="12">
        <v>11.0449</v>
      </c>
      <c r="K16" s="12">
        <v>0.75</v>
      </c>
      <c r="L16" s="12">
        <v>2.4312E-2</v>
      </c>
      <c r="M16" s="64">
        <v>2.4312E-2</v>
      </c>
      <c r="N16" s="12">
        <v>0.75</v>
      </c>
      <c r="O16" s="7" t="s">
        <v>110</v>
      </c>
      <c r="P16" s="7">
        <v>0</v>
      </c>
      <c r="Q16" s="7">
        <v>0.75</v>
      </c>
      <c r="R16" s="7">
        <v>120.96</v>
      </c>
      <c r="S16" s="7">
        <v>120.96</v>
      </c>
      <c r="T16" s="7">
        <v>0.75</v>
      </c>
      <c r="U16" s="12">
        <v>6.8478380000000003</v>
      </c>
      <c r="V16" s="12">
        <v>6.8478380000000003</v>
      </c>
      <c r="W16" s="7">
        <v>100</v>
      </c>
      <c r="X16" s="12"/>
      <c r="Y16" s="7"/>
      <c r="Z16" s="7"/>
      <c r="AA16" s="7"/>
      <c r="AB16" s="7">
        <v>89500</v>
      </c>
      <c r="AC16" s="7">
        <v>0.75</v>
      </c>
      <c r="AD16" s="62" t="s">
        <v>112</v>
      </c>
      <c r="AE16" s="13">
        <f>1/(365)</f>
        <v>2.7397260273972603E-3</v>
      </c>
      <c r="AF16" s="13"/>
      <c r="AG16" s="4"/>
      <c r="AH16" s="9" t="s">
        <v>113</v>
      </c>
      <c r="AI16" s="9"/>
      <c r="AJ16" s="9"/>
      <c r="AK16" s="9" t="s">
        <v>30</v>
      </c>
      <c r="AL16" s="10"/>
      <c r="AM16" s="10"/>
      <c r="AN16" s="10"/>
      <c r="AO16" s="10"/>
      <c r="AP16" s="10"/>
      <c r="AQ16" s="11" t="s">
        <v>114</v>
      </c>
      <c r="AR16" s="4" t="s">
        <v>32</v>
      </c>
      <c r="AS16" s="10" t="s">
        <v>855</v>
      </c>
      <c r="AT16" s="10"/>
      <c r="AU16" s="10"/>
      <c r="AV16" s="10"/>
      <c r="AW16" s="10"/>
      <c r="AX16" s="10"/>
      <c r="AY16" s="10"/>
      <c r="AZ16" s="10"/>
      <c r="BA16" s="10"/>
      <c r="BB16" s="10"/>
      <c r="BC16" s="10" t="s">
        <v>111</v>
      </c>
      <c r="BD16" s="10">
        <v>101</v>
      </c>
    </row>
    <row r="17" spans="1:56" ht="210" x14ac:dyDescent="0.25">
      <c r="A17" s="4" t="s">
        <v>115</v>
      </c>
      <c r="B17" s="4" t="s">
        <v>622</v>
      </c>
      <c r="C17" s="4" t="s">
        <v>22</v>
      </c>
      <c r="D17" s="4" t="s">
        <v>116</v>
      </c>
      <c r="E17" s="5" t="s">
        <v>34</v>
      </c>
      <c r="F17" s="4"/>
      <c r="G17" s="4" t="s">
        <v>35</v>
      </c>
      <c r="H17" s="62" t="s">
        <v>1047</v>
      </c>
      <c r="I17" s="7">
        <v>356</v>
      </c>
      <c r="J17" s="12">
        <v>14.211815625000003</v>
      </c>
      <c r="K17" s="7">
        <v>0.5</v>
      </c>
      <c r="L17" s="7">
        <v>0.28000000000000003</v>
      </c>
      <c r="M17" s="64">
        <v>8.8679347826086975E-3</v>
      </c>
      <c r="N17" s="7">
        <v>0.5</v>
      </c>
      <c r="O17" s="7">
        <v>3500</v>
      </c>
      <c r="P17" s="12">
        <v>110.84918478260872</v>
      </c>
      <c r="Q17" s="7">
        <v>0.5</v>
      </c>
      <c r="R17" s="7">
        <v>13300</v>
      </c>
      <c r="S17" s="8">
        <v>421.22690217391312</v>
      </c>
      <c r="T17" s="7">
        <v>0.5</v>
      </c>
      <c r="U17" s="12">
        <v>11.902395585937503</v>
      </c>
      <c r="V17" s="12">
        <v>11.902395585937503</v>
      </c>
      <c r="W17" s="7"/>
      <c r="X17" s="12">
        <v>0</v>
      </c>
      <c r="Y17" s="7">
        <v>5</v>
      </c>
      <c r="Z17" s="7">
        <v>5</v>
      </c>
      <c r="AA17" s="7">
        <v>1</v>
      </c>
      <c r="AB17" s="7"/>
      <c r="AC17" s="7"/>
      <c r="AD17" s="4"/>
      <c r="AE17" s="4"/>
      <c r="AF17" s="4"/>
      <c r="AG17" s="4"/>
      <c r="AH17" s="9" t="s">
        <v>118</v>
      </c>
      <c r="AI17" s="9" t="s">
        <v>119</v>
      </c>
      <c r="AJ17" s="9"/>
      <c r="AK17" s="9" t="s">
        <v>91</v>
      </c>
      <c r="AL17" s="10" t="s">
        <v>120</v>
      </c>
      <c r="AM17" s="10" t="s">
        <v>121</v>
      </c>
      <c r="AN17" s="10" t="s">
        <v>122</v>
      </c>
      <c r="AO17" s="10" t="s">
        <v>123</v>
      </c>
      <c r="AP17" s="10" t="s">
        <v>124</v>
      </c>
      <c r="AQ17" s="11" t="s">
        <v>125</v>
      </c>
      <c r="AR17" s="4" t="s">
        <v>126</v>
      </c>
      <c r="AS17" s="10" t="s">
        <v>1082</v>
      </c>
      <c r="AT17" s="10"/>
      <c r="AU17" s="10" t="s">
        <v>857</v>
      </c>
      <c r="AV17" s="10" t="s">
        <v>856</v>
      </c>
      <c r="AW17" s="10"/>
      <c r="AX17" s="10"/>
      <c r="AY17" s="10"/>
      <c r="AZ17" s="10"/>
      <c r="BA17" s="10"/>
      <c r="BB17" s="10"/>
      <c r="BC17" s="10" t="s">
        <v>117</v>
      </c>
      <c r="BD17" s="10"/>
    </row>
    <row r="18" spans="1:56" ht="180" x14ac:dyDescent="0.25">
      <c r="A18" s="4" t="s">
        <v>127</v>
      </c>
      <c r="B18" s="4" t="s">
        <v>552</v>
      </c>
      <c r="C18" s="4" t="s">
        <v>70</v>
      </c>
      <c r="D18" s="4" t="s">
        <v>23</v>
      </c>
      <c r="E18" s="5" t="s">
        <v>34</v>
      </c>
      <c r="F18" s="4" t="s">
        <v>128</v>
      </c>
      <c r="G18" s="62" t="s">
        <v>35</v>
      </c>
      <c r="H18" s="4" t="s">
        <v>1701</v>
      </c>
      <c r="I18" s="7" t="s">
        <v>723</v>
      </c>
      <c r="J18" s="12">
        <f>112/6</f>
        <v>18.666666666666668</v>
      </c>
      <c r="K18" s="7">
        <v>0.75</v>
      </c>
      <c r="L18" s="7" t="s">
        <v>724</v>
      </c>
      <c r="M18" s="64">
        <f>0.4/6</f>
        <v>6.6666666666666666E-2</v>
      </c>
      <c r="N18" s="7">
        <v>0.75</v>
      </c>
      <c r="O18" s="7" t="s">
        <v>826</v>
      </c>
      <c r="P18" s="8">
        <f>470/6</f>
        <v>78.333333333333329</v>
      </c>
      <c r="Q18" s="7">
        <v>0.5</v>
      </c>
      <c r="R18" s="7" t="s">
        <v>1178</v>
      </c>
      <c r="S18" s="8">
        <f>470/6</f>
        <v>78.333333333333329</v>
      </c>
      <c r="T18" s="7">
        <v>0.75</v>
      </c>
      <c r="U18" s="12">
        <v>24.78525511724138</v>
      </c>
      <c r="V18" s="12">
        <v>24.78525511724138</v>
      </c>
      <c r="W18" s="7">
        <f>1000</f>
        <v>1000</v>
      </c>
      <c r="X18" s="12">
        <v>1.8599999999999998E-2</v>
      </c>
      <c r="Y18" s="7" t="str">
        <f>Y128</f>
        <v>8
9</v>
      </c>
      <c r="Z18" s="7">
        <v>9</v>
      </c>
      <c r="AA18" s="7">
        <v>1</v>
      </c>
      <c r="AB18" s="8">
        <f>1/(1/832600+1/2350600+1/1136300+1/332900+1/32880+1/37594000+1/130800)</f>
        <v>22937.926397134179</v>
      </c>
      <c r="AC18" s="7">
        <v>0.75</v>
      </c>
      <c r="AD18" s="7" t="s">
        <v>1700</v>
      </c>
      <c r="AE18" s="4">
        <v>0</v>
      </c>
      <c r="AF18" s="4">
        <v>1.5</v>
      </c>
      <c r="AG18" s="4">
        <v>0.75</v>
      </c>
      <c r="AH18" s="9"/>
      <c r="AI18" s="9"/>
      <c r="AJ18" s="9"/>
      <c r="AK18" s="9" t="s">
        <v>30</v>
      </c>
      <c r="AL18" s="10"/>
      <c r="AM18" s="10"/>
      <c r="AN18" s="10"/>
      <c r="AO18" s="10"/>
      <c r="AP18" s="10"/>
      <c r="AQ18" s="11" t="s">
        <v>130</v>
      </c>
      <c r="AR18" s="4" t="s">
        <v>32</v>
      </c>
      <c r="AS18" s="10" t="s">
        <v>944</v>
      </c>
      <c r="AT18" s="10" t="s">
        <v>945</v>
      </c>
      <c r="AU18" s="10"/>
      <c r="AV18" s="10" t="s">
        <v>890</v>
      </c>
      <c r="AW18" s="10" t="s">
        <v>903</v>
      </c>
      <c r="AX18" s="10"/>
      <c r="AY18" s="10" t="s">
        <v>905</v>
      </c>
      <c r="AZ18" s="10"/>
      <c r="BA18" s="10"/>
      <c r="BB18" s="10"/>
      <c r="BC18" s="10"/>
      <c r="BD18" s="10"/>
    </row>
    <row r="19" spans="1:56" ht="105" x14ac:dyDescent="0.25">
      <c r="A19" s="4" t="s">
        <v>985</v>
      </c>
      <c r="B19" s="4" t="s">
        <v>1500</v>
      </c>
      <c r="C19" s="4" t="s">
        <v>66</v>
      </c>
      <c r="D19" s="4" t="s">
        <v>131</v>
      </c>
      <c r="E19" s="5" t="s">
        <v>24</v>
      </c>
      <c r="F19" s="6"/>
      <c r="G19" s="4" t="s">
        <v>35</v>
      </c>
      <c r="H19" s="62" t="s">
        <v>1170</v>
      </c>
      <c r="I19" s="12" t="s">
        <v>825</v>
      </c>
      <c r="J19" s="14">
        <v>90.065509139309626</v>
      </c>
      <c r="K19" s="7">
        <v>0.75</v>
      </c>
      <c r="L19" s="7"/>
      <c r="M19" s="64">
        <v>0.19149676631146648</v>
      </c>
      <c r="N19" s="7">
        <v>0.75</v>
      </c>
      <c r="O19" s="7"/>
      <c r="P19" s="7">
        <v>0</v>
      </c>
      <c r="Q19" s="7">
        <v>0.75</v>
      </c>
      <c r="R19" s="7">
        <v>16</v>
      </c>
      <c r="S19" s="7">
        <v>9</v>
      </c>
      <c r="T19" s="7">
        <v>0.75</v>
      </c>
      <c r="U19" s="12">
        <v>20</v>
      </c>
      <c r="V19" s="12">
        <v>20</v>
      </c>
      <c r="W19" s="7"/>
      <c r="X19" s="12">
        <v>179.49279778592958</v>
      </c>
      <c r="Y19" s="7">
        <v>8</v>
      </c>
      <c r="Z19" s="7">
        <v>9</v>
      </c>
      <c r="AA19" s="7">
        <v>0.75</v>
      </c>
      <c r="AB19" s="7">
        <v>81400</v>
      </c>
      <c r="AC19" s="7">
        <v>0.75</v>
      </c>
      <c r="AD19" s="4"/>
      <c r="AE19" s="4">
        <v>0</v>
      </c>
      <c r="AF19" s="4"/>
      <c r="AG19" s="4">
        <v>0.75</v>
      </c>
      <c r="AH19" s="9" t="s">
        <v>134</v>
      </c>
      <c r="AI19" s="9" t="s">
        <v>135</v>
      </c>
      <c r="AJ19" s="9" t="s">
        <v>136</v>
      </c>
      <c r="AK19" s="9" t="s">
        <v>30</v>
      </c>
      <c r="AL19" s="10"/>
      <c r="AM19" s="10"/>
      <c r="AN19" s="10"/>
      <c r="AO19" s="10"/>
      <c r="AP19" s="10"/>
      <c r="AQ19" s="11" t="s">
        <v>137</v>
      </c>
      <c r="AR19" s="4" t="s">
        <v>138</v>
      </c>
      <c r="AS19" s="10" t="s">
        <v>867</v>
      </c>
      <c r="AT19" s="10" t="s">
        <v>869</v>
      </c>
      <c r="AU19" s="10" t="s">
        <v>877</v>
      </c>
      <c r="AV19" s="10" t="s">
        <v>957</v>
      </c>
      <c r="AW19" s="10"/>
      <c r="AX19" s="10"/>
      <c r="AY19" s="10"/>
      <c r="AZ19" s="10"/>
      <c r="BA19" s="10"/>
      <c r="BB19" s="10"/>
      <c r="BC19" s="10" t="s">
        <v>132</v>
      </c>
      <c r="BD19" s="10" t="s">
        <v>133</v>
      </c>
    </row>
    <row r="20" spans="1:56" ht="135" x14ac:dyDescent="0.25">
      <c r="A20" s="4" t="s">
        <v>986</v>
      </c>
      <c r="B20" s="4"/>
      <c r="C20" s="4" t="s">
        <v>139</v>
      </c>
      <c r="D20" s="4" t="s">
        <v>23</v>
      </c>
      <c r="E20" s="5" t="s">
        <v>34</v>
      </c>
      <c r="F20" s="6"/>
      <c r="G20" s="4" t="s">
        <v>26</v>
      </c>
      <c r="H20" s="62" t="s">
        <v>140</v>
      </c>
      <c r="I20" s="7">
        <v>72.599999999999994</v>
      </c>
      <c r="J20" s="7"/>
      <c r="K20" s="7"/>
      <c r="L20" s="7">
        <v>0.56999999999999995</v>
      </c>
      <c r="M20" s="64"/>
      <c r="N20" s="7"/>
      <c r="O20" s="7"/>
      <c r="P20" s="7"/>
      <c r="Q20" s="7"/>
      <c r="R20" s="7">
        <v>388</v>
      </c>
      <c r="S20" s="7"/>
      <c r="T20" s="7"/>
      <c r="U20" s="12"/>
      <c r="V20" s="12"/>
      <c r="W20" s="7"/>
      <c r="X20" s="12"/>
      <c r="Y20" s="7">
        <v>4</v>
      </c>
      <c r="Z20" s="7"/>
      <c r="AA20" s="7"/>
      <c r="AB20" s="7"/>
      <c r="AC20" s="7"/>
      <c r="AD20" s="4"/>
      <c r="AE20" s="4"/>
      <c r="AF20" s="4"/>
      <c r="AG20" s="4"/>
      <c r="AH20" s="9" t="s">
        <v>142</v>
      </c>
      <c r="AI20" s="9" t="s">
        <v>143</v>
      </c>
      <c r="AJ20" s="9"/>
      <c r="AK20" s="9" t="s">
        <v>30</v>
      </c>
      <c r="AL20" s="10"/>
      <c r="AM20" s="10"/>
      <c r="AN20" s="10"/>
      <c r="AO20" s="10"/>
      <c r="AP20" s="10"/>
      <c r="AQ20" s="11" t="s">
        <v>144</v>
      </c>
      <c r="AR20" s="4"/>
      <c r="AS20" s="10" t="s">
        <v>879</v>
      </c>
      <c r="AT20" s="10"/>
      <c r="AU20" s="10"/>
      <c r="AV20" s="10"/>
      <c r="AW20" s="10"/>
      <c r="AX20" s="10"/>
      <c r="AY20" s="10"/>
      <c r="AZ20" s="10"/>
      <c r="BA20" s="10"/>
      <c r="BB20" s="10"/>
      <c r="BC20" s="10" t="s">
        <v>141</v>
      </c>
      <c r="BD20" s="10"/>
    </row>
    <row r="21" spans="1:56" ht="120" x14ac:dyDescent="0.25">
      <c r="A21" s="4" t="s">
        <v>987</v>
      </c>
      <c r="B21" s="4"/>
      <c r="C21" s="4" t="s">
        <v>22</v>
      </c>
      <c r="D21" s="4" t="s">
        <v>116</v>
      </c>
      <c r="E21" s="5" t="s">
        <v>34</v>
      </c>
      <c r="F21" s="6"/>
      <c r="G21" s="4" t="s">
        <v>26</v>
      </c>
      <c r="H21" s="62" t="s">
        <v>1171</v>
      </c>
      <c r="I21" s="7"/>
      <c r="J21" s="7"/>
      <c r="K21" s="7"/>
      <c r="L21" s="7"/>
      <c r="M21" s="64"/>
      <c r="N21" s="7"/>
      <c r="O21" s="7"/>
      <c r="P21" s="7"/>
      <c r="Q21" s="7"/>
      <c r="R21" s="7"/>
      <c r="S21" s="7"/>
      <c r="T21" s="7"/>
      <c r="U21" s="12"/>
      <c r="V21" s="12"/>
      <c r="W21" s="7"/>
      <c r="X21" s="12"/>
      <c r="Y21" s="7" t="s">
        <v>39</v>
      </c>
      <c r="Z21" s="7">
        <v>3</v>
      </c>
      <c r="AA21" s="7">
        <v>0.75</v>
      </c>
      <c r="AB21" s="7"/>
      <c r="AC21" s="7"/>
      <c r="AD21" s="4"/>
      <c r="AE21" s="4"/>
      <c r="AF21" s="4"/>
      <c r="AG21" s="4"/>
      <c r="AH21" s="9" t="s">
        <v>145</v>
      </c>
      <c r="AI21" s="9" t="s">
        <v>64</v>
      </c>
      <c r="AJ21" s="9"/>
      <c r="AK21" s="9" t="s">
        <v>30</v>
      </c>
      <c r="AL21" s="10"/>
      <c r="AM21" s="10"/>
      <c r="AN21" s="10"/>
      <c r="AO21" s="10"/>
      <c r="AP21" s="10"/>
      <c r="AQ21" s="11" t="s">
        <v>146</v>
      </c>
      <c r="AR21" s="4"/>
      <c r="AS21" s="10" t="s">
        <v>855</v>
      </c>
      <c r="AT21" s="10" t="s">
        <v>1082</v>
      </c>
      <c r="AU21" s="10"/>
      <c r="AV21" s="10"/>
      <c r="AW21" s="10"/>
      <c r="AX21" s="10"/>
      <c r="AY21" s="10"/>
      <c r="AZ21" s="10"/>
      <c r="BA21" s="10"/>
      <c r="BB21" s="10"/>
      <c r="BC21" s="10"/>
      <c r="BD21" s="10"/>
    </row>
    <row r="22" spans="1:56" ht="180" x14ac:dyDescent="0.25">
      <c r="A22" s="4" t="s">
        <v>147</v>
      </c>
      <c r="B22" s="4" t="s">
        <v>594</v>
      </c>
      <c r="C22" s="4" t="s">
        <v>22</v>
      </c>
      <c r="D22" s="4" t="s">
        <v>33</v>
      </c>
      <c r="E22" s="5" t="s">
        <v>34</v>
      </c>
      <c r="F22" s="4"/>
      <c r="G22" s="4" t="s">
        <v>35</v>
      </c>
      <c r="H22" s="62" t="s">
        <v>1210</v>
      </c>
      <c r="I22" s="7" t="s">
        <v>828</v>
      </c>
      <c r="J22" s="12">
        <v>33.449849999999998</v>
      </c>
      <c r="K22" s="7">
        <v>0.75</v>
      </c>
      <c r="L22" s="12" t="s">
        <v>827</v>
      </c>
      <c r="M22" s="64">
        <v>2.0396250000000001E-2</v>
      </c>
      <c r="N22" s="7">
        <v>0.75</v>
      </c>
      <c r="O22" s="7" t="s">
        <v>148</v>
      </c>
      <c r="P22" s="8">
        <v>97.902000000000001</v>
      </c>
      <c r="Q22" s="7">
        <v>0.75</v>
      </c>
      <c r="R22" s="7" t="s">
        <v>149</v>
      </c>
      <c r="S22" s="8">
        <v>12.23775</v>
      </c>
      <c r="T22" s="7">
        <v>0.75</v>
      </c>
      <c r="U22" s="12">
        <v>33.449849999999998</v>
      </c>
      <c r="V22" s="12">
        <v>33.449849999999998</v>
      </c>
      <c r="W22" s="7"/>
      <c r="X22" s="12">
        <v>3.4965E-3</v>
      </c>
      <c r="Y22" s="7" t="s">
        <v>152</v>
      </c>
      <c r="Z22" s="7">
        <v>6</v>
      </c>
      <c r="AA22" s="7">
        <v>1</v>
      </c>
      <c r="AB22" s="7" t="s">
        <v>153</v>
      </c>
      <c r="AC22" s="7">
        <v>0.75</v>
      </c>
      <c r="AD22" s="62" t="s">
        <v>1161</v>
      </c>
      <c r="AE22" s="4">
        <v>0</v>
      </c>
      <c r="AF22" s="4"/>
      <c r="AG22" s="4">
        <v>0.25</v>
      </c>
      <c r="AH22" s="9" t="s">
        <v>154</v>
      </c>
      <c r="AI22" s="9" t="s">
        <v>155</v>
      </c>
      <c r="AJ22" s="9"/>
      <c r="AK22" s="9" t="s">
        <v>156</v>
      </c>
      <c r="AL22" s="10" t="s">
        <v>157</v>
      </c>
      <c r="AM22" s="10" t="s">
        <v>158</v>
      </c>
      <c r="AN22" s="10" t="s">
        <v>159</v>
      </c>
      <c r="AO22" s="10" t="s">
        <v>158</v>
      </c>
      <c r="AP22" s="10" t="s">
        <v>160</v>
      </c>
      <c r="AQ22" s="11" t="s">
        <v>161</v>
      </c>
      <c r="AR22" s="4"/>
      <c r="AS22" s="10"/>
      <c r="AT22" s="10" t="s">
        <v>903</v>
      </c>
      <c r="AU22" s="10" t="s">
        <v>1081</v>
      </c>
      <c r="AV22" s="10"/>
      <c r="AW22" s="10"/>
      <c r="AX22" s="10"/>
      <c r="AY22" s="10"/>
      <c r="AZ22" s="10"/>
      <c r="BA22" s="10"/>
      <c r="BB22" s="10"/>
      <c r="BC22" s="10" t="s">
        <v>150</v>
      </c>
      <c r="BD22" s="10" t="s">
        <v>151</v>
      </c>
    </row>
    <row r="23" spans="1:56" ht="75" x14ac:dyDescent="0.25">
      <c r="A23" s="4" t="s">
        <v>990</v>
      </c>
      <c r="B23" s="4"/>
      <c r="C23" s="4" t="s">
        <v>139</v>
      </c>
      <c r="D23" s="4" t="s">
        <v>23</v>
      </c>
      <c r="E23" s="5" t="s">
        <v>34</v>
      </c>
      <c r="F23" s="6"/>
      <c r="G23" s="4" t="s">
        <v>26</v>
      </c>
      <c r="H23" s="62" t="s">
        <v>162</v>
      </c>
      <c r="I23" s="7"/>
      <c r="J23" s="7"/>
      <c r="K23" s="7"/>
      <c r="L23" s="7"/>
      <c r="M23" s="64"/>
      <c r="N23" s="7"/>
      <c r="O23" s="7"/>
      <c r="P23" s="7"/>
      <c r="Q23" s="7"/>
      <c r="R23" s="7"/>
      <c r="S23" s="7"/>
      <c r="T23" s="7"/>
      <c r="U23" s="12"/>
      <c r="V23" s="12"/>
      <c r="W23" s="7"/>
      <c r="X23" s="12"/>
      <c r="Y23" s="7">
        <v>3</v>
      </c>
      <c r="Z23" s="7"/>
      <c r="AA23" s="7"/>
      <c r="AB23" s="7"/>
      <c r="AC23" s="7"/>
      <c r="AD23" s="4"/>
      <c r="AE23" s="4"/>
      <c r="AF23" s="4"/>
      <c r="AG23" s="4"/>
      <c r="AH23" s="9" t="s">
        <v>163</v>
      </c>
      <c r="AI23" s="9" t="s">
        <v>64</v>
      </c>
      <c r="AJ23" s="9"/>
      <c r="AK23" s="9" t="s">
        <v>30</v>
      </c>
      <c r="AL23" s="10"/>
      <c r="AM23" s="10"/>
      <c r="AN23" s="10"/>
      <c r="AO23" s="10"/>
      <c r="AP23" s="10"/>
      <c r="AQ23" s="11" t="s">
        <v>144</v>
      </c>
      <c r="AR23" s="4"/>
      <c r="AS23" s="10" t="s">
        <v>879</v>
      </c>
      <c r="AT23" s="10"/>
      <c r="AU23" s="10"/>
      <c r="AV23" s="10"/>
      <c r="AW23" s="10"/>
      <c r="AX23" s="10"/>
      <c r="AY23" s="10"/>
      <c r="AZ23" s="10"/>
      <c r="BA23" s="10"/>
      <c r="BB23" s="10"/>
      <c r="BC23" s="10">
        <v>422</v>
      </c>
      <c r="BD23" s="10"/>
    </row>
    <row r="24" spans="1:56" ht="165" x14ac:dyDescent="0.25">
      <c r="A24" s="4" t="s">
        <v>164</v>
      </c>
      <c r="B24" s="4" t="s">
        <v>1473</v>
      </c>
      <c r="C24" s="4" t="s">
        <v>46</v>
      </c>
      <c r="D24" s="4" t="s">
        <v>165</v>
      </c>
      <c r="E24" s="5" t="s">
        <v>34</v>
      </c>
      <c r="F24" s="4"/>
      <c r="G24" s="4" t="s">
        <v>35</v>
      </c>
      <c r="H24" s="62" t="s">
        <v>166</v>
      </c>
      <c r="I24" s="7" t="s">
        <v>167</v>
      </c>
      <c r="J24" s="7"/>
      <c r="K24" s="7"/>
      <c r="L24" s="7" t="s">
        <v>725</v>
      </c>
      <c r="M24" s="64"/>
      <c r="N24" s="7"/>
      <c r="O24" s="7" t="s">
        <v>168</v>
      </c>
      <c r="P24" s="7"/>
      <c r="Q24" s="7"/>
      <c r="R24" s="7" t="s">
        <v>169</v>
      </c>
      <c r="S24" s="7"/>
      <c r="T24" s="7"/>
      <c r="U24" s="12"/>
      <c r="V24" s="12"/>
      <c r="W24" s="7" t="s">
        <v>172</v>
      </c>
      <c r="X24" s="12"/>
      <c r="Y24" s="7" t="s">
        <v>173</v>
      </c>
      <c r="Z24" s="7">
        <v>4</v>
      </c>
      <c r="AA24" s="7">
        <v>1</v>
      </c>
      <c r="AB24" s="7">
        <f>1*10^7</f>
        <v>10000000</v>
      </c>
      <c r="AC24" s="7"/>
      <c r="AD24" s="4" t="s">
        <v>174</v>
      </c>
      <c r="AE24" s="4"/>
      <c r="AF24" s="4"/>
      <c r="AG24" s="4"/>
      <c r="AH24" s="9" t="s">
        <v>175</v>
      </c>
      <c r="AI24" s="9" t="s">
        <v>176</v>
      </c>
      <c r="AJ24" s="9"/>
      <c r="AK24" s="9" t="s">
        <v>30</v>
      </c>
      <c r="AL24" s="10" t="s">
        <v>177</v>
      </c>
      <c r="AM24" s="10" t="s">
        <v>178</v>
      </c>
      <c r="AN24" s="10" t="s">
        <v>179</v>
      </c>
      <c r="AO24" s="10" t="s">
        <v>178</v>
      </c>
      <c r="AP24" s="10" t="s">
        <v>180</v>
      </c>
      <c r="AQ24" s="11" t="s">
        <v>181</v>
      </c>
      <c r="AR24" s="4"/>
      <c r="AS24" s="10"/>
      <c r="AT24" s="10"/>
      <c r="AU24" s="10"/>
      <c r="AV24" s="10" t="s">
        <v>858</v>
      </c>
      <c r="AW24" s="10" t="s">
        <v>859</v>
      </c>
      <c r="AX24" s="10"/>
      <c r="AY24" s="10"/>
      <c r="AZ24" s="10"/>
      <c r="BA24" s="10"/>
      <c r="BB24" s="10"/>
      <c r="BC24" s="10" t="s">
        <v>170</v>
      </c>
      <c r="BD24" s="10" t="s">
        <v>171</v>
      </c>
    </row>
    <row r="25" spans="1:56" ht="30" x14ac:dyDescent="0.25">
      <c r="A25" s="4" t="s">
        <v>182</v>
      </c>
      <c r="B25" s="4"/>
      <c r="C25" s="4" t="s">
        <v>22</v>
      </c>
      <c r="D25" s="4" t="s">
        <v>23</v>
      </c>
      <c r="E25" s="5" t="s">
        <v>34</v>
      </c>
      <c r="F25" s="6" t="s">
        <v>25</v>
      </c>
      <c r="G25" s="6" t="s">
        <v>26</v>
      </c>
      <c r="H25" s="4" t="s">
        <v>1211</v>
      </c>
      <c r="I25" s="12">
        <v>3.4201000000000001</v>
      </c>
      <c r="J25" s="12">
        <v>3.4201000000000001</v>
      </c>
      <c r="K25" s="12">
        <v>0.75</v>
      </c>
      <c r="L25" s="12">
        <v>3.7490000000000002E-3</v>
      </c>
      <c r="M25" s="64">
        <v>3.7490000000000002E-3</v>
      </c>
      <c r="N25" s="12">
        <v>0.75</v>
      </c>
      <c r="O25" s="12"/>
      <c r="P25" s="12">
        <v>0</v>
      </c>
      <c r="Q25" s="12">
        <v>0.5</v>
      </c>
      <c r="R25" s="7">
        <v>7.64</v>
      </c>
      <c r="S25" s="7">
        <v>7.64</v>
      </c>
      <c r="T25" s="7">
        <v>0.75</v>
      </c>
      <c r="U25" s="12"/>
      <c r="V25" s="12"/>
      <c r="W25" s="7"/>
      <c r="X25" s="12"/>
      <c r="Y25" s="7">
        <v>8</v>
      </c>
      <c r="Z25" s="7"/>
      <c r="AA25" s="7"/>
      <c r="AB25" s="7">
        <v>483000</v>
      </c>
      <c r="AC25" s="7"/>
      <c r="AD25" s="4"/>
      <c r="AE25" s="4"/>
      <c r="AF25" s="4"/>
      <c r="AG25" s="4"/>
      <c r="AH25" s="9"/>
      <c r="AI25" s="9"/>
      <c r="AJ25" s="9"/>
      <c r="AK25" s="9" t="s">
        <v>30</v>
      </c>
      <c r="AL25" s="10"/>
      <c r="AM25" s="10"/>
      <c r="AN25" s="10"/>
      <c r="AO25" s="10"/>
      <c r="AP25" s="10"/>
      <c r="AQ25" s="11">
        <v>10</v>
      </c>
      <c r="AR25" s="4" t="s">
        <v>32</v>
      </c>
      <c r="AS25" s="10"/>
      <c r="AT25" s="10"/>
      <c r="AU25" s="10"/>
      <c r="AV25" s="10"/>
      <c r="AW25" s="10"/>
      <c r="AX25" s="10"/>
      <c r="AY25" s="10"/>
      <c r="AZ25" s="10"/>
      <c r="BA25" s="10"/>
      <c r="BB25" s="10"/>
      <c r="BC25" s="10"/>
      <c r="BD25" s="10"/>
    </row>
    <row r="26" spans="1:56" ht="45" x14ac:dyDescent="0.25">
      <c r="A26" s="4" t="s">
        <v>983</v>
      </c>
      <c r="B26" s="4"/>
      <c r="C26" s="4" t="s">
        <v>139</v>
      </c>
      <c r="D26" s="4" t="s">
        <v>131</v>
      </c>
      <c r="E26" s="5"/>
      <c r="F26" s="6"/>
      <c r="G26" s="62" t="s">
        <v>26</v>
      </c>
      <c r="H26" s="4"/>
      <c r="I26" s="12"/>
      <c r="J26" s="12"/>
      <c r="K26" s="12"/>
      <c r="L26" s="12"/>
      <c r="M26" s="64"/>
      <c r="N26" s="12"/>
      <c r="O26" s="12"/>
      <c r="P26" s="12"/>
      <c r="Q26" s="12"/>
      <c r="R26" s="7"/>
      <c r="S26" s="7"/>
      <c r="T26" s="7"/>
      <c r="U26" s="12"/>
      <c r="V26" s="12"/>
      <c r="W26" s="7"/>
      <c r="X26" s="12"/>
      <c r="Y26" s="7"/>
      <c r="Z26" s="7"/>
      <c r="AA26" s="7"/>
      <c r="AB26" s="7"/>
      <c r="AC26" s="7"/>
      <c r="AD26" s="4"/>
      <c r="AE26" s="4"/>
      <c r="AF26" s="4"/>
      <c r="AG26" s="4"/>
      <c r="AH26" s="9"/>
      <c r="AI26" s="9"/>
      <c r="AJ26" s="9"/>
      <c r="AK26" s="9" t="s">
        <v>183</v>
      </c>
      <c r="AL26" s="10"/>
      <c r="AM26" s="10"/>
      <c r="AN26" s="10"/>
      <c r="AO26" s="10"/>
      <c r="AP26" s="10"/>
      <c r="AQ26" s="11"/>
      <c r="AR26" s="4"/>
      <c r="AS26" s="10" t="s">
        <v>937</v>
      </c>
      <c r="AT26" s="10"/>
      <c r="AU26" s="10"/>
      <c r="AV26" s="10"/>
      <c r="AW26" s="10"/>
      <c r="AX26" s="10"/>
      <c r="AY26" s="10"/>
      <c r="AZ26" s="10"/>
      <c r="BA26" s="10"/>
      <c r="BB26" s="10"/>
      <c r="BC26" s="10"/>
      <c r="BD26" s="10"/>
    </row>
    <row r="27" spans="1:56" ht="30" x14ac:dyDescent="0.25">
      <c r="A27" s="4" t="s">
        <v>184</v>
      </c>
      <c r="B27" s="4"/>
      <c r="C27" s="4" t="s">
        <v>22</v>
      </c>
      <c r="D27" s="4" t="s">
        <v>101</v>
      </c>
      <c r="E27" s="5" t="s">
        <v>34</v>
      </c>
      <c r="F27" s="6" t="s">
        <v>25</v>
      </c>
      <c r="G27" s="6" t="s">
        <v>26</v>
      </c>
      <c r="H27" s="4" t="s">
        <v>998</v>
      </c>
      <c r="I27" s="12">
        <v>1.0886</v>
      </c>
      <c r="J27" s="12">
        <f>technologies[[#This Row],[Mass
Literature]]</f>
        <v>1.0886</v>
      </c>
      <c r="K27" s="12">
        <v>0.75</v>
      </c>
      <c r="L27" s="12">
        <v>1.9599999999999999E-4</v>
      </c>
      <c r="M27" s="64">
        <f>technologies[[#This Row],[Volume
Literature]]</f>
        <v>1.9599999999999999E-4</v>
      </c>
      <c r="N27" s="12">
        <v>0.75</v>
      </c>
      <c r="O27" s="12"/>
      <c r="P27" s="12">
        <v>0</v>
      </c>
      <c r="Q27" s="12">
        <v>0.5</v>
      </c>
      <c r="R27" s="7">
        <v>11.5</v>
      </c>
      <c r="S27" s="7">
        <v>11.5</v>
      </c>
      <c r="T27" s="7">
        <v>0.75</v>
      </c>
      <c r="U27" s="12"/>
      <c r="V27" s="12"/>
      <c r="W27" s="7"/>
      <c r="X27" s="12"/>
      <c r="Y27" s="7">
        <v>8</v>
      </c>
      <c r="Z27" s="7"/>
      <c r="AA27" s="7"/>
      <c r="AB27" s="7">
        <v>936000</v>
      </c>
      <c r="AC27" s="7"/>
      <c r="AD27" s="4"/>
      <c r="AE27" s="4"/>
      <c r="AF27" s="4"/>
      <c r="AG27" s="4"/>
      <c r="AH27" s="9"/>
      <c r="AI27" s="9"/>
      <c r="AJ27" s="9"/>
      <c r="AK27" s="9" t="s">
        <v>30</v>
      </c>
      <c r="AL27" s="10"/>
      <c r="AM27" s="10"/>
      <c r="AN27" s="10"/>
      <c r="AO27" s="10"/>
      <c r="AP27" s="10"/>
      <c r="AQ27" s="11">
        <v>10</v>
      </c>
      <c r="AR27" s="4" t="s">
        <v>32</v>
      </c>
      <c r="AS27" s="10"/>
      <c r="AT27" s="10"/>
      <c r="AU27" s="10"/>
      <c r="AV27" s="10"/>
      <c r="AW27" s="10"/>
      <c r="AX27" s="10"/>
      <c r="AY27" s="10"/>
      <c r="AZ27" s="10"/>
      <c r="BA27" s="10"/>
      <c r="BB27" s="10"/>
      <c r="BC27" s="10"/>
      <c r="BD27" s="10"/>
    </row>
    <row r="28" spans="1:56" ht="30" x14ac:dyDescent="0.25">
      <c r="A28" s="4" t="s">
        <v>185</v>
      </c>
      <c r="B28" s="4"/>
      <c r="C28" s="4" t="s">
        <v>186</v>
      </c>
      <c r="D28" s="4" t="s">
        <v>131</v>
      </c>
      <c r="E28" s="5" t="s">
        <v>34</v>
      </c>
      <c r="F28" s="6"/>
      <c r="G28" s="4" t="s">
        <v>26</v>
      </c>
      <c r="H28" s="62" t="s">
        <v>1132</v>
      </c>
      <c r="I28" s="12"/>
      <c r="J28" s="12"/>
      <c r="K28" s="12"/>
      <c r="L28" s="12"/>
      <c r="M28" s="64"/>
      <c r="N28" s="12"/>
      <c r="O28" s="12"/>
      <c r="P28" s="12"/>
      <c r="Q28" s="12"/>
      <c r="R28" s="7"/>
      <c r="S28" s="7"/>
      <c r="T28" s="7"/>
      <c r="U28" s="12"/>
      <c r="V28" s="12"/>
      <c r="W28" s="7"/>
      <c r="X28" s="12"/>
      <c r="Y28" s="7"/>
      <c r="Z28" s="7"/>
      <c r="AA28" s="7"/>
      <c r="AB28" s="7"/>
      <c r="AC28" s="7"/>
      <c r="AD28" s="4"/>
      <c r="AE28" s="4"/>
      <c r="AF28" s="4"/>
      <c r="AG28" s="4"/>
      <c r="AH28" s="9"/>
      <c r="AI28" s="9"/>
      <c r="AJ28" s="9"/>
      <c r="AK28" s="9" t="s">
        <v>30</v>
      </c>
      <c r="AL28" s="10"/>
      <c r="AM28" s="10"/>
      <c r="AN28" s="10"/>
      <c r="AO28" s="10"/>
      <c r="AP28" s="10"/>
      <c r="AQ28" s="11"/>
      <c r="AR28" s="4"/>
      <c r="AS28" s="10" t="s">
        <v>958</v>
      </c>
      <c r="AT28" s="10"/>
      <c r="AU28" s="10"/>
      <c r="AV28" s="10"/>
      <c r="AW28" s="10"/>
      <c r="AX28" s="10"/>
      <c r="AY28" s="10"/>
      <c r="AZ28" s="10"/>
      <c r="BA28" s="10"/>
      <c r="BB28" s="10"/>
      <c r="BC28" s="10"/>
      <c r="BD28" s="10"/>
    </row>
    <row r="29" spans="1:56" ht="45" x14ac:dyDescent="0.25">
      <c r="A29" s="4" t="s">
        <v>984</v>
      </c>
      <c r="B29" s="4"/>
      <c r="C29" s="4" t="s">
        <v>22</v>
      </c>
      <c r="D29" s="4" t="s">
        <v>101</v>
      </c>
      <c r="E29" s="5" t="s">
        <v>34</v>
      </c>
      <c r="F29" s="6"/>
      <c r="G29" s="4" t="s">
        <v>26</v>
      </c>
      <c r="H29" s="4" t="s">
        <v>187</v>
      </c>
      <c r="I29" s="12"/>
      <c r="J29" s="12"/>
      <c r="K29" s="12"/>
      <c r="L29" s="12"/>
      <c r="M29" s="64"/>
      <c r="N29" s="12"/>
      <c r="O29" s="12"/>
      <c r="P29" s="12"/>
      <c r="Q29" s="12"/>
      <c r="R29" s="7"/>
      <c r="S29" s="7"/>
      <c r="T29" s="7"/>
      <c r="U29" s="12"/>
      <c r="V29" s="12"/>
      <c r="W29" s="7"/>
      <c r="X29" s="12"/>
      <c r="Y29" s="7"/>
      <c r="Z29" s="7"/>
      <c r="AA29" s="7"/>
      <c r="AB29" s="7"/>
      <c r="AC29" s="7"/>
      <c r="AD29" s="4"/>
      <c r="AE29" s="4"/>
      <c r="AF29" s="4"/>
      <c r="AG29" s="4"/>
      <c r="AH29" s="9"/>
      <c r="AI29" s="9" t="s">
        <v>188</v>
      </c>
      <c r="AJ29" s="9"/>
      <c r="AK29" s="9" t="s">
        <v>30</v>
      </c>
      <c r="AL29" s="10"/>
      <c r="AM29" s="10"/>
      <c r="AN29" s="10"/>
      <c r="AO29" s="10"/>
      <c r="AP29" s="10"/>
      <c r="AQ29" s="11">
        <v>1</v>
      </c>
      <c r="AR29" s="4"/>
      <c r="AS29" s="10" t="s">
        <v>863</v>
      </c>
      <c r="AT29" s="10"/>
      <c r="AU29" s="10"/>
      <c r="AV29" s="10"/>
      <c r="AW29" s="10"/>
      <c r="AX29" s="10"/>
      <c r="AY29" s="10"/>
      <c r="AZ29" s="10"/>
      <c r="BA29" s="10"/>
      <c r="BB29" s="10"/>
      <c r="BC29" s="10"/>
      <c r="BD29" s="10"/>
    </row>
    <row r="30" spans="1:56" ht="165" x14ac:dyDescent="0.25">
      <c r="A30" s="4" t="s">
        <v>189</v>
      </c>
      <c r="B30" s="4" t="s">
        <v>1621</v>
      </c>
      <c r="C30" s="4" t="s">
        <v>22</v>
      </c>
      <c r="D30" s="4" t="s">
        <v>101</v>
      </c>
      <c r="E30" s="5" t="s">
        <v>34</v>
      </c>
      <c r="F30" s="4"/>
      <c r="G30" s="4" t="s">
        <v>35</v>
      </c>
      <c r="H30" s="62" t="s">
        <v>999</v>
      </c>
      <c r="I30" s="12"/>
      <c r="J30" s="12"/>
      <c r="K30" s="12"/>
      <c r="L30" s="12"/>
      <c r="M30" s="64"/>
      <c r="N30" s="12"/>
      <c r="O30" s="12"/>
      <c r="P30" s="12"/>
      <c r="Q30" s="12"/>
      <c r="R30" s="7"/>
      <c r="S30" s="7"/>
      <c r="T30" s="7"/>
      <c r="U30" s="12"/>
      <c r="V30" s="12"/>
      <c r="W30" s="7"/>
      <c r="X30" s="12"/>
      <c r="Y30" s="7"/>
      <c r="Z30" s="7"/>
      <c r="AA30" s="7"/>
      <c r="AB30" s="7"/>
      <c r="AC30" s="7"/>
      <c r="AD30" s="4"/>
      <c r="AE30" s="4"/>
      <c r="AF30" s="4"/>
      <c r="AG30" s="4"/>
      <c r="AH30" s="9" t="s">
        <v>190</v>
      </c>
      <c r="AI30" s="9"/>
      <c r="AJ30" s="9"/>
      <c r="AK30" s="9" t="s">
        <v>30</v>
      </c>
      <c r="AL30" s="10"/>
      <c r="AM30" s="10"/>
      <c r="AN30" s="10"/>
      <c r="AO30" s="10"/>
      <c r="AP30" s="10"/>
      <c r="AQ30" s="11">
        <v>1</v>
      </c>
      <c r="AR30" s="4"/>
      <c r="AS30" s="10" t="s">
        <v>863</v>
      </c>
      <c r="AT30" s="10"/>
      <c r="AU30" s="10"/>
      <c r="AV30" s="10"/>
      <c r="AW30" s="10"/>
      <c r="AX30" s="10"/>
      <c r="AY30" s="10"/>
      <c r="AZ30" s="10"/>
      <c r="BA30" s="10"/>
      <c r="BB30" s="10"/>
      <c r="BC30" s="10"/>
      <c r="BD30" s="10"/>
    </row>
    <row r="31" spans="1:56" ht="105" x14ac:dyDescent="0.25">
      <c r="A31" s="4" t="s">
        <v>191</v>
      </c>
      <c r="B31" s="4"/>
      <c r="C31" s="4" t="s">
        <v>186</v>
      </c>
      <c r="D31" s="4" t="s">
        <v>131</v>
      </c>
      <c r="E31" s="5"/>
      <c r="F31" s="6"/>
      <c r="G31" s="4" t="s">
        <v>26</v>
      </c>
      <c r="H31" s="62" t="s">
        <v>192</v>
      </c>
      <c r="I31" s="12"/>
      <c r="J31" s="12"/>
      <c r="K31" s="12"/>
      <c r="L31" s="12"/>
      <c r="M31" s="64"/>
      <c r="N31" s="12"/>
      <c r="O31" s="12"/>
      <c r="P31" s="12"/>
      <c r="Q31" s="12"/>
      <c r="R31" s="7"/>
      <c r="S31" s="7"/>
      <c r="T31" s="7"/>
      <c r="U31" s="12"/>
      <c r="V31" s="12"/>
      <c r="W31" s="7"/>
      <c r="X31" s="12"/>
      <c r="Y31" s="7"/>
      <c r="Z31" s="7"/>
      <c r="AA31" s="7"/>
      <c r="AB31" s="7"/>
      <c r="AC31" s="7"/>
      <c r="AD31" s="4"/>
      <c r="AE31" s="4"/>
      <c r="AF31" s="4"/>
      <c r="AG31" s="4"/>
      <c r="AH31" s="9"/>
      <c r="AI31" s="9"/>
      <c r="AJ31" s="9"/>
      <c r="AK31" s="9" t="s">
        <v>30</v>
      </c>
      <c r="AL31" s="10"/>
      <c r="AM31" s="10"/>
      <c r="AN31" s="10"/>
      <c r="AO31" s="10"/>
      <c r="AP31" s="10"/>
      <c r="AQ31" s="11">
        <v>4</v>
      </c>
      <c r="AR31" s="4"/>
      <c r="AS31" s="10" t="s">
        <v>958</v>
      </c>
      <c r="AT31" s="10"/>
      <c r="AU31" s="10"/>
      <c r="AV31" s="10"/>
      <c r="AW31" s="10"/>
      <c r="AX31" s="10"/>
      <c r="AY31" s="10"/>
      <c r="AZ31" s="10"/>
      <c r="BA31" s="10"/>
      <c r="BB31" s="10"/>
      <c r="BC31" s="10"/>
      <c r="BD31" s="10"/>
    </row>
    <row r="32" spans="1:56" ht="105" x14ac:dyDescent="0.25">
      <c r="A32" s="4" t="s">
        <v>982</v>
      </c>
      <c r="B32" s="4" t="s">
        <v>1277</v>
      </c>
      <c r="C32" s="4" t="s">
        <v>66</v>
      </c>
      <c r="D32" s="4" t="s">
        <v>131</v>
      </c>
      <c r="E32" s="5" t="s">
        <v>24</v>
      </c>
      <c r="F32" s="6"/>
      <c r="G32" s="4" t="s">
        <v>35</v>
      </c>
      <c r="H32" s="62" t="s">
        <v>1169</v>
      </c>
      <c r="I32" s="12" t="s">
        <v>829</v>
      </c>
      <c r="J32" s="12">
        <v>93.93668964610292</v>
      </c>
      <c r="K32" s="12">
        <v>0.75</v>
      </c>
      <c r="L32" s="12" t="s">
        <v>765</v>
      </c>
      <c r="M32" s="64">
        <v>0.47645375699906733</v>
      </c>
      <c r="N32" s="12">
        <v>0.75</v>
      </c>
      <c r="O32" s="12"/>
      <c r="P32" s="12">
        <v>0</v>
      </c>
      <c r="Q32" s="12">
        <v>0.75</v>
      </c>
      <c r="R32" s="7"/>
      <c r="S32" s="7">
        <v>9</v>
      </c>
      <c r="T32" s="7">
        <v>0.75</v>
      </c>
      <c r="U32" s="12">
        <v>20</v>
      </c>
      <c r="V32" s="12">
        <v>20</v>
      </c>
      <c r="W32" s="7"/>
      <c r="X32" s="12">
        <v>0</v>
      </c>
      <c r="Y32" s="7">
        <v>8</v>
      </c>
      <c r="Z32" s="7">
        <v>9</v>
      </c>
      <c r="AA32" s="7">
        <v>1</v>
      </c>
      <c r="AB32" s="7" t="s">
        <v>194</v>
      </c>
      <c r="AC32" s="7">
        <v>0.75</v>
      </c>
      <c r="AD32" s="4">
        <v>0</v>
      </c>
      <c r="AE32" s="4">
        <v>0</v>
      </c>
      <c r="AF32" s="4"/>
      <c r="AG32" s="4">
        <v>0.75</v>
      </c>
      <c r="AH32" s="9" t="s">
        <v>195</v>
      </c>
      <c r="AI32" s="9" t="s">
        <v>196</v>
      </c>
      <c r="AJ32" s="9"/>
      <c r="AK32" s="9" t="s">
        <v>30</v>
      </c>
      <c r="AL32" s="10"/>
      <c r="AM32" s="10"/>
      <c r="AN32" s="10"/>
      <c r="AO32" s="10"/>
      <c r="AP32" s="10"/>
      <c r="AQ32" s="11" t="s">
        <v>197</v>
      </c>
      <c r="AR32" s="4" t="s">
        <v>198</v>
      </c>
      <c r="AS32" s="10" t="s">
        <v>867</v>
      </c>
      <c r="AT32" s="10" t="s">
        <v>869</v>
      </c>
      <c r="AU32" s="10" t="s">
        <v>877</v>
      </c>
      <c r="AV32" s="10" t="s">
        <v>957</v>
      </c>
      <c r="AW32" s="10"/>
      <c r="AX32" s="10"/>
      <c r="AY32" s="10"/>
      <c r="AZ32" s="10"/>
      <c r="BA32" s="10"/>
      <c r="BB32" s="10"/>
      <c r="BC32" s="10">
        <v>290</v>
      </c>
      <c r="BD32" s="10" t="s">
        <v>193</v>
      </c>
    </row>
    <row r="33" spans="1:56" ht="30" x14ac:dyDescent="0.25">
      <c r="A33" s="4" t="s">
        <v>199</v>
      </c>
      <c r="B33" s="4"/>
      <c r="C33" s="4" t="s">
        <v>22</v>
      </c>
      <c r="D33" s="4" t="s">
        <v>101</v>
      </c>
      <c r="E33" s="5" t="s">
        <v>34</v>
      </c>
      <c r="F33" s="4" t="s">
        <v>200</v>
      </c>
      <c r="G33" s="4" t="s">
        <v>26</v>
      </c>
      <c r="H33" s="4"/>
      <c r="I33" s="12">
        <v>4.3544999999999998</v>
      </c>
      <c r="J33" s="12">
        <v>4.3544999999999998</v>
      </c>
      <c r="K33" s="12"/>
      <c r="L33" s="12">
        <v>3.398E-3</v>
      </c>
      <c r="M33" s="12">
        <v>3.398E-3</v>
      </c>
      <c r="N33" s="12"/>
      <c r="O33" s="12"/>
      <c r="P33" s="12"/>
      <c r="Q33" s="12"/>
      <c r="R33" s="7"/>
      <c r="S33" s="7"/>
      <c r="T33" s="7"/>
      <c r="U33" s="12"/>
      <c r="V33" s="12"/>
      <c r="W33" s="7"/>
      <c r="X33" s="12"/>
      <c r="Y33" s="7"/>
      <c r="Z33" s="7"/>
      <c r="AA33" s="7"/>
      <c r="AB33" s="7" t="s">
        <v>1153</v>
      </c>
      <c r="AC33" s="7"/>
      <c r="AD33" s="4"/>
      <c r="AE33" s="4"/>
      <c r="AF33" s="4"/>
      <c r="AG33" s="4"/>
      <c r="AH33" s="9"/>
      <c r="AI33" s="9" t="s">
        <v>1152</v>
      </c>
      <c r="AJ33" s="9"/>
      <c r="AK33" s="9" t="s">
        <v>30</v>
      </c>
      <c r="AL33" s="10"/>
      <c r="AM33" s="10"/>
      <c r="AN33" s="10"/>
      <c r="AO33" s="10"/>
      <c r="AP33" s="10"/>
      <c r="AQ33" s="11">
        <v>10</v>
      </c>
      <c r="AR33" s="4" t="s">
        <v>32</v>
      </c>
      <c r="AS33" s="10"/>
      <c r="AT33" s="10"/>
      <c r="AU33" s="10"/>
      <c r="AV33" s="10"/>
      <c r="AW33" s="10"/>
      <c r="AX33" s="10"/>
      <c r="AY33" s="10"/>
      <c r="AZ33" s="10"/>
      <c r="BA33" s="10"/>
      <c r="BB33" s="10"/>
      <c r="BC33" s="10"/>
      <c r="BD33" s="10"/>
    </row>
    <row r="34" spans="1:56" ht="30" x14ac:dyDescent="0.25">
      <c r="A34" s="4" t="s">
        <v>201</v>
      </c>
      <c r="B34" s="4"/>
      <c r="C34" s="4" t="s">
        <v>22</v>
      </c>
      <c r="D34" s="4" t="s">
        <v>131</v>
      </c>
      <c r="E34" s="5" t="s">
        <v>34</v>
      </c>
      <c r="F34" s="4" t="s">
        <v>200</v>
      </c>
      <c r="G34" s="4" t="s">
        <v>26</v>
      </c>
      <c r="H34" s="4"/>
      <c r="I34" s="12">
        <v>161.61760000000001</v>
      </c>
      <c r="J34" s="12"/>
      <c r="K34" s="12"/>
      <c r="L34" s="12">
        <v>0.14669699999999999</v>
      </c>
      <c r="M34" s="12">
        <v>0.14669699999999999</v>
      </c>
      <c r="N34" s="12"/>
      <c r="O34" s="12"/>
      <c r="P34" s="12"/>
      <c r="Q34" s="12"/>
      <c r="R34" s="7"/>
      <c r="S34" s="7"/>
      <c r="T34" s="7"/>
      <c r="U34" s="12"/>
      <c r="V34" s="12"/>
      <c r="W34" s="7"/>
      <c r="X34" s="12"/>
      <c r="Y34" s="7"/>
      <c r="Z34" s="7"/>
      <c r="AA34" s="7"/>
      <c r="AB34" s="7" t="s">
        <v>1154</v>
      </c>
      <c r="AC34" s="7"/>
      <c r="AD34" s="4"/>
      <c r="AE34" s="4"/>
      <c r="AF34" s="4"/>
      <c r="AG34" s="4"/>
      <c r="AH34" s="9"/>
      <c r="AI34" s="9" t="s">
        <v>1143</v>
      </c>
      <c r="AJ34" s="9"/>
      <c r="AK34" s="9" t="s">
        <v>30</v>
      </c>
      <c r="AL34" s="10"/>
      <c r="AM34" s="10"/>
      <c r="AN34" s="10"/>
      <c r="AO34" s="10"/>
      <c r="AP34" s="10"/>
      <c r="AQ34" s="11">
        <v>10</v>
      </c>
      <c r="AR34" s="4" t="s">
        <v>32</v>
      </c>
      <c r="AS34" s="10"/>
      <c r="AT34" s="10"/>
      <c r="AU34" s="10"/>
      <c r="AV34" s="10"/>
      <c r="AW34" s="10"/>
      <c r="AX34" s="10"/>
      <c r="AY34" s="10"/>
      <c r="AZ34" s="10"/>
      <c r="BA34" s="10"/>
      <c r="BB34" s="10"/>
      <c r="BC34" s="10"/>
      <c r="BD34" s="10"/>
    </row>
    <row r="35" spans="1:56" ht="30" x14ac:dyDescent="0.25">
      <c r="A35" s="4" t="s">
        <v>202</v>
      </c>
      <c r="B35" s="4"/>
      <c r="C35" s="4" t="s">
        <v>22</v>
      </c>
      <c r="D35" s="4" t="s">
        <v>62</v>
      </c>
      <c r="E35" s="5" t="s">
        <v>34</v>
      </c>
      <c r="F35" s="4" t="s">
        <v>200</v>
      </c>
      <c r="G35" s="4" t="s">
        <v>26</v>
      </c>
      <c r="H35" s="4" t="s">
        <v>203</v>
      </c>
      <c r="I35" s="12">
        <v>28.6675</v>
      </c>
      <c r="J35" s="12">
        <v>28.6675</v>
      </c>
      <c r="K35" s="12"/>
      <c r="L35" s="12">
        <v>2.9451999999999999E-2</v>
      </c>
      <c r="M35" s="12">
        <v>2.9451999999999999E-2</v>
      </c>
      <c r="N35" s="12"/>
      <c r="O35" s="12"/>
      <c r="P35" s="12"/>
      <c r="Q35" s="12"/>
      <c r="R35" s="7"/>
      <c r="S35" s="7"/>
      <c r="T35" s="7"/>
      <c r="U35" s="12"/>
      <c r="V35" s="12"/>
      <c r="W35" s="7"/>
      <c r="X35" s="12"/>
      <c r="Y35" s="7"/>
      <c r="Z35" s="7"/>
      <c r="AA35" s="7"/>
      <c r="AB35" s="7" t="s">
        <v>1155</v>
      </c>
      <c r="AC35" s="7"/>
      <c r="AD35" s="4"/>
      <c r="AE35" s="4"/>
      <c r="AF35" s="4"/>
      <c r="AG35" s="4"/>
      <c r="AH35" s="9"/>
      <c r="AI35" s="9"/>
      <c r="AJ35" s="9"/>
      <c r="AK35" s="9" t="s">
        <v>30</v>
      </c>
      <c r="AL35" s="10"/>
      <c r="AM35" s="10"/>
      <c r="AN35" s="10"/>
      <c r="AO35" s="10"/>
      <c r="AP35" s="10"/>
      <c r="AQ35" s="11">
        <v>10</v>
      </c>
      <c r="AR35" s="4" t="s">
        <v>32</v>
      </c>
      <c r="AS35" s="10"/>
      <c r="AT35" s="10"/>
      <c r="AU35" s="10"/>
      <c r="AV35" s="10"/>
      <c r="AW35" s="10"/>
      <c r="AX35" s="10"/>
      <c r="AY35" s="10"/>
      <c r="AZ35" s="10"/>
      <c r="BA35" s="10"/>
      <c r="BB35" s="10"/>
      <c r="BC35" s="10"/>
      <c r="BD35" s="10"/>
    </row>
    <row r="36" spans="1:56" ht="45" x14ac:dyDescent="0.25">
      <c r="A36" s="4" t="s">
        <v>981</v>
      </c>
      <c r="B36" s="4" t="s">
        <v>1622</v>
      </c>
      <c r="C36" s="4" t="s">
        <v>22</v>
      </c>
      <c r="D36" s="4" t="s">
        <v>101</v>
      </c>
      <c r="E36" s="5" t="s">
        <v>34</v>
      </c>
      <c r="F36" s="4"/>
      <c r="G36" s="4" t="s">
        <v>35</v>
      </c>
      <c r="H36" s="4" t="s">
        <v>204</v>
      </c>
      <c r="I36" s="12"/>
      <c r="J36" s="12"/>
      <c r="K36" s="12"/>
      <c r="L36" s="12"/>
      <c r="M36" s="64"/>
      <c r="N36" s="12"/>
      <c r="O36" s="12"/>
      <c r="P36" s="12"/>
      <c r="Q36" s="12"/>
      <c r="R36" s="7"/>
      <c r="S36" s="7"/>
      <c r="T36" s="7"/>
      <c r="U36" s="12"/>
      <c r="V36" s="12"/>
      <c r="W36" s="7"/>
      <c r="X36" s="12"/>
      <c r="Y36" s="7"/>
      <c r="Z36" s="7"/>
      <c r="AA36" s="7"/>
      <c r="AB36" s="7"/>
      <c r="AC36" s="7"/>
      <c r="AD36" s="4"/>
      <c r="AE36" s="4"/>
      <c r="AF36" s="4"/>
      <c r="AG36" s="4"/>
      <c r="AH36" s="9" t="s">
        <v>205</v>
      </c>
      <c r="AI36" s="9" t="s">
        <v>64</v>
      </c>
      <c r="AJ36" s="9"/>
      <c r="AK36" s="9" t="s">
        <v>30</v>
      </c>
      <c r="AL36" s="10"/>
      <c r="AM36" s="10"/>
      <c r="AN36" s="10"/>
      <c r="AO36" s="10"/>
      <c r="AP36" s="10"/>
      <c r="AQ36" s="11">
        <v>1</v>
      </c>
      <c r="AR36" s="4"/>
      <c r="AS36" s="10" t="s">
        <v>863</v>
      </c>
      <c r="AT36" s="10"/>
      <c r="AU36" s="10"/>
      <c r="AV36" s="10"/>
      <c r="AW36" s="10"/>
      <c r="AX36" s="10"/>
      <c r="AY36" s="10"/>
      <c r="AZ36" s="10"/>
      <c r="BA36" s="10"/>
      <c r="BB36" s="10"/>
      <c r="BC36" s="10"/>
      <c r="BD36" s="10"/>
    </row>
    <row r="37" spans="1:56" ht="135" x14ac:dyDescent="0.25">
      <c r="A37" s="4" t="s">
        <v>980</v>
      </c>
      <c r="B37" s="4"/>
      <c r="C37" s="4" t="s">
        <v>186</v>
      </c>
      <c r="D37" s="4" t="s">
        <v>131</v>
      </c>
      <c r="E37" s="5" t="s">
        <v>34</v>
      </c>
      <c r="F37" s="6"/>
      <c r="G37" s="4" t="s">
        <v>26</v>
      </c>
      <c r="H37" s="62" t="s">
        <v>1120</v>
      </c>
      <c r="I37" s="12" t="s">
        <v>206</v>
      </c>
      <c r="J37" s="12">
        <f>100/6*Crew_Size</f>
        <v>83.333333333333343</v>
      </c>
      <c r="K37" s="12"/>
      <c r="L37" s="12" t="s">
        <v>1077</v>
      </c>
      <c r="M37" s="64">
        <f>0.5/6*Crew_Size</f>
        <v>0.41666666666666663</v>
      </c>
      <c r="N37" s="12"/>
      <c r="O37" s="12" t="s">
        <v>207</v>
      </c>
      <c r="P37" s="12"/>
      <c r="Q37" s="12"/>
      <c r="R37" s="7" t="s">
        <v>208</v>
      </c>
      <c r="S37" s="7">
        <v>1400</v>
      </c>
      <c r="T37" s="7"/>
      <c r="U37" s="12"/>
      <c r="V37" s="12"/>
      <c r="W37" s="7"/>
      <c r="X37" s="12"/>
      <c r="Y37" s="7"/>
      <c r="Z37" s="7"/>
      <c r="AA37" s="7"/>
      <c r="AB37" s="7"/>
      <c r="AC37" s="7"/>
      <c r="AD37" s="4"/>
      <c r="AE37" s="4"/>
      <c r="AF37" s="4"/>
      <c r="AG37" s="4"/>
      <c r="AH37" s="9"/>
      <c r="AI37" s="9"/>
      <c r="AJ37" s="9"/>
      <c r="AK37" s="9" t="s">
        <v>30</v>
      </c>
      <c r="AL37" s="10"/>
      <c r="AM37" s="10"/>
      <c r="AN37" s="10"/>
      <c r="AO37" s="10"/>
      <c r="AP37" s="10"/>
      <c r="AQ37" s="11">
        <v>9</v>
      </c>
      <c r="AR37" s="4"/>
      <c r="AS37" s="10" t="s">
        <v>958</v>
      </c>
      <c r="AT37" s="10"/>
      <c r="AU37" s="10"/>
      <c r="AV37" s="10"/>
      <c r="AW37" s="10"/>
      <c r="AX37" s="10"/>
      <c r="AY37" s="10"/>
      <c r="AZ37" s="10"/>
      <c r="BA37" s="10"/>
      <c r="BB37" s="10"/>
      <c r="BC37" s="10"/>
      <c r="BD37" s="10"/>
    </row>
    <row r="38" spans="1:56" ht="195" x14ac:dyDescent="0.25">
      <c r="A38" s="4" t="s">
        <v>209</v>
      </c>
      <c r="B38" s="4" t="s">
        <v>1276</v>
      </c>
      <c r="C38" s="4" t="s">
        <v>22</v>
      </c>
      <c r="D38" s="4" t="s">
        <v>33</v>
      </c>
      <c r="E38" s="5" t="s">
        <v>24</v>
      </c>
      <c r="F38" s="4"/>
      <c r="G38" s="4" t="s">
        <v>35</v>
      </c>
      <c r="H38" s="62" t="s">
        <v>1122</v>
      </c>
      <c r="I38" s="12" t="s">
        <v>726</v>
      </c>
      <c r="J38" s="12">
        <v>14.966999999999999</v>
      </c>
      <c r="K38" s="12">
        <v>0.5</v>
      </c>
      <c r="L38" s="12" t="s">
        <v>727</v>
      </c>
      <c r="M38" s="64">
        <v>3.1099999999999999E-2</v>
      </c>
      <c r="N38" s="12">
        <v>0.5</v>
      </c>
      <c r="O38" s="12">
        <v>0</v>
      </c>
      <c r="P38" s="12">
        <v>0</v>
      </c>
      <c r="Q38" s="12">
        <v>0.75</v>
      </c>
      <c r="R38" s="12" t="s">
        <v>1121</v>
      </c>
      <c r="S38" s="8">
        <v>12</v>
      </c>
      <c r="T38" s="7">
        <v>0.25</v>
      </c>
      <c r="U38" s="12">
        <v>12.363252417177913</v>
      </c>
      <c r="V38" s="12">
        <v>12.363252417177913</v>
      </c>
      <c r="W38" s="7">
        <v>62.1</v>
      </c>
      <c r="X38" s="12">
        <v>1.268517382413088</v>
      </c>
      <c r="Y38" s="7" t="s">
        <v>210</v>
      </c>
      <c r="Z38" s="7">
        <v>9</v>
      </c>
      <c r="AA38" s="7">
        <v>1</v>
      </c>
      <c r="AB38" s="7">
        <f>1*10^7</f>
        <v>10000000</v>
      </c>
      <c r="AC38" s="7">
        <v>0.25</v>
      </c>
      <c r="AD38" s="4" t="s">
        <v>1162</v>
      </c>
      <c r="AE38" s="13">
        <f>SUM_CO2_Production/(0.84*2.27)*Crew_Size*Mission_Duration*8/60</f>
        <v>1222.4669603524223</v>
      </c>
      <c r="AF38" s="13"/>
      <c r="AG38" s="4">
        <v>0.25</v>
      </c>
      <c r="AH38" s="9" t="s">
        <v>211</v>
      </c>
      <c r="AI38" s="9" t="s">
        <v>212</v>
      </c>
      <c r="AJ38" s="9"/>
      <c r="AK38" s="9" t="s">
        <v>30</v>
      </c>
      <c r="AL38" s="10" t="s">
        <v>213</v>
      </c>
      <c r="AM38" s="10" t="s">
        <v>214</v>
      </c>
      <c r="AN38" s="10" t="s">
        <v>215</v>
      </c>
      <c r="AO38" s="10" t="s">
        <v>1119</v>
      </c>
      <c r="AP38" s="10" t="s">
        <v>216</v>
      </c>
      <c r="AQ38" s="11" t="s">
        <v>217</v>
      </c>
      <c r="AR38" s="4" t="s">
        <v>218</v>
      </c>
      <c r="AS38" s="10" t="s">
        <v>856</v>
      </c>
      <c r="AT38" s="10" t="s">
        <v>1081</v>
      </c>
      <c r="AU38" s="10"/>
      <c r="AV38" s="10"/>
      <c r="AW38" s="10"/>
      <c r="AX38" s="10"/>
      <c r="AY38" s="10"/>
      <c r="AZ38" s="10"/>
      <c r="BA38" s="10"/>
      <c r="BB38" s="10"/>
      <c r="BC38" s="10">
        <v>293</v>
      </c>
      <c r="BD38" s="10">
        <v>101</v>
      </c>
    </row>
    <row r="39" spans="1:56" ht="105" x14ac:dyDescent="0.25">
      <c r="A39" s="4" t="s">
        <v>219</v>
      </c>
      <c r="B39" s="4"/>
      <c r="C39" s="4" t="s">
        <v>22</v>
      </c>
      <c r="D39" s="4" t="s">
        <v>23</v>
      </c>
      <c r="E39" s="5" t="s">
        <v>34</v>
      </c>
      <c r="F39" s="4" t="s">
        <v>25</v>
      </c>
      <c r="G39" s="4" t="s">
        <v>26</v>
      </c>
      <c r="H39" s="62" t="s">
        <v>1123</v>
      </c>
      <c r="I39" s="12">
        <v>4.1048999999999998</v>
      </c>
      <c r="J39" s="12">
        <f>technologies[[#This Row],[Mass
Literature]]</f>
        <v>4.1048999999999998</v>
      </c>
      <c r="K39" s="12">
        <v>0.75</v>
      </c>
      <c r="L39" s="12">
        <v>7.8230000000000001E-3</v>
      </c>
      <c r="M39" s="64">
        <f>technologies[[#This Row],[Volume
Literature]]</f>
        <v>7.8230000000000001E-3</v>
      </c>
      <c r="N39" s="12">
        <v>0.75</v>
      </c>
      <c r="O39" s="12">
        <v>0</v>
      </c>
      <c r="P39" s="12">
        <v>0</v>
      </c>
      <c r="Q39" s="12">
        <v>0.75</v>
      </c>
      <c r="R39" s="12">
        <v>0</v>
      </c>
      <c r="S39" s="7">
        <v>0</v>
      </c>
      <c r="T39" s="7">
        <v>0.75</v>
      </c>
      <c r="U39" s="12"/>
      <c r="V39" s="12"/>
      <c r="W39" s="7"/>
      <c r="X39" s="12"/>
      <c r="Y39" s="7"/>
      <c r="Z39" s="7"/>
      <c r="AA39" s="7"/>
      <c r="AB39" s="7">
        <v>241000</v>
      </c>
      <c r="AC39" s="7"/>
      <c r="AD39" s="4"/>
      <c r="AE39" s="4"/>
      <c r="AF39" s="4"/>
      <c r="AG39" s="4"/>
      <c r="AH39" s="9" t="s">
        <v>28</v>
      </c>
      <c r="AI39" s="9" t="s">
        <v>29</v>
      </c>
      <c r="AJ39" s="9"/>
      <c r="AK39" s="9" t="s">
        <v>30</v>
      </c>
      <c r="AL39" s="10"/>
      <c r="AM39" s="10"/>
      <c r="AN39" s="10"/>
      <c r="AO39" s="10"/>
      <c r="AP39" s="10"/>
      <c r="AQ39" s="11" t="s">
        <v>114</v>
      </c>
      <c r="AR39" s="4" t="s">
        <v>32</v>
      </c>
      <c r="AS39" s="10" t="s">
        <v>856</v>
      </c>
      <c r="AT39" s="10"/>
      <c r="AU39" s="10"/>
      <c r="AV39" s="10"/>
      <c r="AW39" s="10"/>
      <c r="AX39" s="10"/>
      <c r="AY39" s="10"/>
      <c r="AZ39" s="10"/>
      <c r="BA39" s="10"/>
      <c r="BB39" s="10"/>
      <c r="BC39" s="10">
        <f>63+273</f>
        <v>336</v>
      </c>
      <c r="BD39" s="10"/>
    </row>
    <row r="40" spans="1:56" ht="45" x14ac:dyDescent="0.25">
      <c r="A40" s="4" t="s">
        <v>220</v>
      </c>
      <c r="B40" s="4"/>
      <c r="C40" s="4" t="s">
        <v>66</v>
      </c>
      <c r="D40" s="4" t="s">
        <v>23</v>
      </c>
      <c r="E40" s="5" t="s">
        <v>34</v>
      </c>
      <c r="F40" s="4" t="s">
        <v>221</v>
      </c>
      <c r="G40" s="4" t="s">
        <v>35</v>
      </c>
      <c r="H40" s="4"/>
      <c r="I40" s="12">
        <v>1.9503999999999999</v>
      </c>
      <c r="J40" s="12">
        <v>1.9503999999999999</v>
      </c>
      <c r="K40" s="12"/>
      <c r="L40" s="12">
        <v>2.5479999999999999E-3</v>
      </c>
      <c r="M40" s="12">
        <v>2.5479999999999999E-3</v>
      </c>
      <c r="N40" s="12"/>
      <c r="O40" s="12"/>
      <c r="P40" s="12"/>
      <c r="Q40" s="12"/>
      <c r="R40" s="12"/>
      <c r="S40" s="7"/>
      <c r="T40" s="7"/>
      <c r="U40" s="12">
        <v>1.2092479999999999</v>
      </c>
      <c r="V40" s="12">
        <v>1.2092479999999999</v>
      </c>
      <c r="W40" s="7"/>
      <c r="X40" s="12"/>
      <c r="Y40" s="7"/>
      <c r="Z40" s="7"/>
      <c r="AA40" s="7"/>
      <c r="AB40" s="7">
        <f>3*10^5</f>
        <v>300000</v>
      </c>
      <c r="AC40" s="7"/>
      <c r="AD40" s="4"/>
      <c r="AE40" s="4"/>
      <c r="AF40" s="4"/>
      <c r="AG40" s="4"/>
      <c r="AH40" s="9"/>
      <c r="AI40" s="9"/>
      <c r="AJ40" s="9"/>
      <c r="AK40" s="9" t="s">
        <v>30</v>
      </c>
      <c r="AL40" s="10"/>
      <c r="AM40" s="10"/>
      <c r="AN40" s="10"/>
      <c r="AO40" s="10"/>
      <c r="AP40" s="10"/>
      <c r="AQ40" s="11">
        <v>11</v>
      </c>
      <c r="AR40" s="4" t="s">
        <v>32</v>
      </c>
      <c r="AS40" s="10" t="s">
        <v>949</v>
      </c>
      <c r="AT40" s="10" t="s">
        <v>866</v>
      </c>
      <c r="AU40" s="10"/>
      <c r="AV40" s="10"/>
      <c r="AW40" s="10"/>
      <c r="AX40" s="10"/>
      <c r="AY40" s="10"/>
      <c r="AZ40" s="10"/>
      <c r="BA40" s="10"/>
      <c r="BB40" s="10"/>
      <c r="BC40" s="10"/>
      <c r="BD40" s="10"/>
    </row>
    <row r="41" spans="1:56" ht="45" x14ac:dyDescent="0.25">
      <c r="A41" s="4" t="s">
        <v>222</v>
      </c>
      <c r="B41" s="4"/>
      <c r="C41" s="4" t="s">
        <v>66</v>
      </c>
      <c r="D41" s="4" t="s">
        <v>23</v>
      </c>
      <c r="E41" s="5" t="s">
        <v>34</v>
      </c>
      <c r="F41" s="4" t="s">
        <v>221</v>
      </c>
      <c r="G41" s="4" t="s">
        <v>35</v>
      </c>
      <c r="H41" s="4" t="s">
        <v>223</v>
      </c>
      <c r="I41" s="12">
        <v>1.9503999999999999</v>
      </c>
      <c r="J41" s="12">
        <v>1.95</v>
      </c>
      <c r="K41" s="12"/>
      <c r="L41" s="12">
        <v>2.5479999999999999E-3</v>
      </c>
      <c r="M41" s="64"/>
      <c r="N41" s="12"/>
      <c r="O41" s="12"/>
      <c r="P41" s="12"/>
      <c r="Q41" s="12"/>
      <c r="R41" s="12"/>
      <c r="S41" s="12"/>
      <c r="T41" s="12"/>
      <c r="U41" s="12"/>
      <c r="V41" s="12"/>
      <c r="W41" s="7"/>
      <c r="X41" s="12"/>
      <c r="Y41" s="7"/>
      <c r="Z41" s="7"/>
      <c r="AA41" s="7"/>
      <c r="AB41" s="7">
        <f>3*10^5</f>
        <v>300000</v>
      </c>
      <c r="AC41" s="7"/>
      <c r="AD41" s="4"/>
      <c r="AE41" s="4"/>
      <c r="AF41" s="4"/>
      <c r="AG41" s="4"/>
      <c r="AH41" s="9"/>
      <c r="AI41" s="9"/>
      <c r="AJ41" s="9"/>
      <c r="AK41" s="9" t="s">
        <v>30</v>
      </c>
      <c r="AL41" s="10"/>
      <c r="AM41" s="10"/>
      <c r="AN41" s="10"/>
      <c r="AO41" s="10"/>
      <c r="AP41" s="10"/>
      <c r="AQ41" s="11">
        <v>11</v>
      </c>
      <c r="AR41" s="4" t="s">
        <v>32</v>
      </c>
      <c r="AS41" s="10" t="s">
        <v>950</v>
      </c>
      <c r="AT41" s="10" t="s">
        <v>951</v>
      </c>
      <c r="AU41" s="10" t="s">
        <v>868</v>
      </c>
      <c r="AV41" s="10"/>
      <c r="AW41" s="10"/>
      <c r="AX41" s="10"/>
      <c r="AY41" s="10"/>
      <c r="AZ41" s="10"/>
      <c r="BA41" s="10"/>
      <c r="BB41" s="10"/>
      <c r="BC41" s="10"/>
      <c r="BD41" s="10"/>
    </row>
    <row r="42" spans="1:56" ht="90" x14ac:dyDescent="0.25">
      <c r="A42" s="4" t="s">
        <v>224</v>
      </c>
      <c r="B42" s="4" t="s">
        <v>1463</v>
      </c>
      <c r="C42" s="4" t="s">
        <v>22</v>
      </c>
      <c r="D42" s="4" t="s">
        <v>101</v>
      </c>
      <c r="E42" s="5" t="s">
        <v>34</v>
      </c>
      <c r="F42" s="4"/>
      <c r="G42" s="4" t="s">
        <v>35</v>
      </c>
      <c r="H42" s="62" t="s">
        <v>225</v>
      </c>
      <c r="I42" s="12" t="s">
        <v>728</v>
      </c>
      <c r="J42" s="12">
        <f>54.7483</f>
        <v>54.7483</v>
      </c>
      <c r="K42" s="12">
        <v>1</v>
      </c>
      <c r="L42" s="12" t="s">
        <v>729</v>
      </c>
      <c r="M42" s="64">
        <f>0.43896</f>
        <v>0.43896000000000002</v>
      </c>
      <c r="N42" s="12">
        <v>1</v>
      </c>
      <c r="O42" s="12" t="s">
        <v>1138</v>
      </c>
      <c r="P42" s="12">
        <f>103.5</f>
        <v>103.5</v>
      </c>
      <c r="Q42" s="12">
        <v>0.75</v>
      </c>
      <c r="R42" s="12" t="s">
        <v>1139</v>
      </c>
      <c r="S42" s="12">
        <f>103.5</f>
        <v>103.5</v>
      </c>
      <c r="T42" s="12">
        <v>1</v>
      </c>
      <c r="U42" s="12">
        <v>33.943945999999997</v>
      </c>
      <c r="V42" s="12">
        <v>33.943945999999997</v>
      </c>
      <c r="W42" s="7"/>
      <c r="X42" s="12"/>
      <c r="Y42" s="7"/>
      <c r="Z42" s="7">
        <v>9</v>
      </c>
      <c r="AA42" s="7">
        <v>1</v>
      </c>
      <c r="AB42" s="7"/>
      <c r="AC42" s="7"/>
      <c r="AD42" s="4" t="s">
        <v>227</v>
      </c>
      <c r="AE42" s="4"/>
      <c r="AF42" s="4"/>
      <c r="AG42" s="4"/>
      <c r="AH42" s="9"/>
      <c r="AI42" s="9"/>
      <c r="AJ42" s="9"/>
      <c r="AK42" s="9" t="s">
        <v>30</v>
      </c>
      <c r="AL42" s="10"/>
      <c r="AM42" s="10"/>
      <c r="AN42" s="10"/>
      <c r="AO42" s="10"/>
      <c r="AP42" s="10"/>
      <c r="AQ42" s="11" t="s">
        <v>228</v>
      </c>
      <c r="AR42" s="4" t="s">
        <v>32</v>
      </c>
      <c r="AS42" s="10" t="s">
        <v>863</v>
      </c>
      <c r="AT42" s="10"/>
      <c r="AU42" s="10"/>
      <c r="AV42" s="10"/>
      <c r="AW42" s="10"/>
      <c r="AX42" s="10"/>
      <c r="AY42" s="10"/>
      <c r="AZ42" s="10"/>
      <c r="BA42" s="10"/>
      <c r="BB42" s="10"/>
      <c r="BC42" s="10" t="s">
        <v>226</v>
      </c>
      <c r="BD42" s="10" t="s">
        <v>1140</v>
      </c>
    </row>
    <row r="43" spans="1:56" ht="60" x14ac:dyDescent="0.25">
      <c r="A43" s="4" t="s">
        <v>229</v>
      </c>
      <c r="B43" s="4"/>
      <c r="C43" s="4" t="s">
        <v>66</v>
      </c>
      <c r="D43" s="4" t="s">
        <v>23</v>
      </c>
      <c r="E43" s="5" t="s">
        <v>34</v>
      </c>
      <c r="F43" s="6"/>
      <c r="G43" s="4" t="s">
        <v>26</v>
      </c>
      <c r="H43" s="62" t="s">
        <v>230</v>
      </c>
      <c r="I43" s="12">
        <v>1.2</v>
      </c>
      <c r="J43" s="12">
        <v>1.2</v>
      </c>
      <c r="K43" s="12">
        <v>0.75</v>
      </c>
      <c r="L43" s="12">
        <v>1.4E-3</v>
      </c>
      <c r="M43" s="64">
        <v>1.4E-3</v>
      </c>
      <c r="N43" s="12">
        <v>0.75</v>
      </c>
      <c r="O43" s="12">
        <v>0</v>
      </c>
      <c r="P43" s="12">
        <v>0</v>
      </c>
      <c r="Q43" s="12">
        <v>0.75</v>
      </c>
      <c r="R43" s="12">
        <v>0</v>
      </c>
      <c r="S43" s="12">
        <v>0</v>
      </c>
      <c r="T43" s="12">
        <v>0.75</v>
      </c>
      <c r="U43" s="12"/>
      <c r="V43" s="12"/>
      <c r="W43" s="7"/>
      <c r="X43" s="12"/>
      <c r="Y43" s="7"/>
      <c r="Z43" s="7">
        <v>1</v>
      </c>
      <c r="AA43" s="7">
        <v>1</v>
      </c>
      <c r="AB43" s="7"/>
      <c r="AC43" s="7"/>
      <c r="AD43" s="4"/>
      <c r="AE43" s="4"/>
      <c r="AF43" s="4"/>
      <c r="AG43" s="4"/>
      <c r="AH43" s="9"/>
      <c r="AI43" s="9"/>
      <c r="AJ43" s="9"/>
      <c r="AK43" s="9" t="s">
        <v>30</v>
      </c>
      <c r="AL43" s="10"/>
      <c r="AM43" s="10"/>
      <c r="AN43" s="10"/>
      <c r="AO43" s="10"/>
      <c r="AP43" s="10"/>
      <c r="AQ43" s="11" t="s">
        <v>231</v>
      </c>
      <c r="AR43" s="4" t="s">
        <v>32</v>
      </c>
      <c r="AS43" s="10"/>
      <c r="AT43" s="10"/>
      <c r="AU43" s="10"/>
      <c r="AV43" s="10"/>
      <c r="AW43" s="10"/>
      <c r="AX43" s="10"/>
      <c r="AY43" s="10"/>
      <c r="AZ43" s="10"/>
      <c r="BA43" s="10"/>
      <c r="BB43" s="10"/>
      <c r="BC43" s="10"/>
      <c r="BD43" s="10"/>
    </row>
    <row r="44" spans="1:56" ht="45" x14ac:dyDescent="0.25">
      <c r="A44" s="4" t="s">
        <v>232</v>
      </c>
      <c r="B44" s="4"/>
      <c r="C44" s="4" t="s">
        <v>66</v>
      </c>
      <c r="D44" s="4" t="s">
        <v>23</v>
      </c>
      <c r="E44" s="5" t="s">
        <v>34</v>
      </c>
      <c r="F44" s="4" t="s">
        <v>221</v>
      </c>
      <c r="G44" s="4" t="s">
        <v>35</v>
      </c>
      <c r="H44" s="4"/>
      <c r="I44" s="12">
        <v>1.9503999999999999</v>
      </c>
      <c r="J44" s="12"/>
      <c r="K44" s="12"/>
      <c r="L44" s="12">
        <v>2.5479999999999999E-3</v>
      </c>
      <c r="M44" s="64"/>
      <c r="N44" s="12"/>
      <c r="O44" s="12"/>
      <c r="P44" s="12"/>
      <c r="Q44" s="12"/>
      <c r="R44" s="12"/>
      <c r="S44" s="12"/>
      <c r="T44" s="12"/>
      <c r="U44" s="12"/>
      <c r="V44" s="12"/>
      <c r="W44" s="7"/>
      <c r="X44" s="12"/>
      <c r="Y44" s="7"/>
      <c r="Z44" s="7"/>
      <c r="AA44" s="7"/>
      <c r="AB44" s="7">
        <f>3*10^5</f>
        <v>300000</v>
      </c>
      <c r="AC44" s="7"/>
      <c r="AD44" s="4"/>
      <c r="AE44" s="4"/>
      <c r="AF44" s="4"/>
      <c r="AG44" s="4"/>
      <c r="AH44" s="9"/>
      <c r="AI44" s="9"/>
      <c r="AJ44" s="9"/>
      <c r="AK44" s="9" t="s">
        <v>30</v>
      </c>
      <c r="AL44" s="10"/>
      <c r="AM44" s="10"/>
      <c r="AN44" s="10"/>
      <c r="AO44" s="10"/>
      <c r="AP44" s="10"/>
      <c r="AQ44" s="11">
        <v>11</v>
      </c>
      <c r="AR44" s="4" t="s">
        <v>32</v>
      </c>
      <c r="AS44" s="10" t="s">
        <v>950</v>
      </c>
      <c r="AT44" s="10" t="s">
        <v>951</v>
      </c>
      <c r="AU44" s="10" t="s">
        <v>868</v>
      </c>
      <c r="AV44" s="10"/>
      <c r="AW44" s="10"/>
      <c r="AX44" s="10"/>
      <c r="AY44" s="10"/>
      <c r="AZ44" s="10"/>
      <c r="BA44" s="10"/>
      <c r="BB44" s="10"/>
      <c r="BC44" s="10"/>
      <c r="BD44" s="10"/>
    </row>
    <row r="45" spans="1:56" ht="240" x14ac:dyDescent="0.25">
      <c r="A45" s="4" t="s">
        <v>233</v>
      </c>
      <c r="B45" s="4" t="s">
        <v>1474</v>
      </c>
      <c r="C45" s="4" t="s">
        <v>22</v>
      </c>
      <c r="D45" s="4" t="s">
        <v>33</v>
      </c>
      <c r="E45" s="5" t="s">
        <v>34</v>
      </c>
      <c r="F45" s="4"/>
      <c r="G45" s="4" t="s">
        <v>35</v>
      </c>
      <c r="H45" s="62" t="s">
        <v>1090</v>
      </c>
      <c r="I45" s="12">
        <f>(56*14.5+47.627*14)</f>
        <v>1478.778</v>
      </c>
      <c r="J45" s="12">
        <f>(56*14.5+47.627*14)/100</f>
        <v>14.78778</v>
      </c>
      <c r="K45" s="12">
        <v>0.75</v>
      </c>
      <c r="L45" s="12">
        <f>56*8/1000+0.166*14</f>
        <v>2.7720000000000002</v>
      </c>
      <c r="M45" s="64">
        <f>technologies[[#This Row],[Volume
Literature]]/100</f>
        <v>2.7720000000000002E-2</v>
      </c>
      <c r="N45" s="12">
        <v>0.5</v>
      </c>
      <c r="O45" s="12"/>
      <c r="P45" s="12">
        <f>technologies[[#This Row],[Power]]</f>
        <v>140</v>
      </c>
      <c r="Q45" s="12">
        <v>0.5</v>
      </c>
      <c r="R45" s="12">
        <f>1000*14</f>
        <v>14000</v>
      </c>
      <c r="S45" s="12">
        <f>technologies[[#This Row],[Power required
Literature]]/100</f>
        <v>140</v>
      </c>
      <c r="T45" s="12">
        <v>0.75</v>
      </c>
      <c r="U45" s="12">
        <v>11.830224000000001</v>
      </c>
      <c r="V45" s="12">
        <v>11.830224000000001</v>
      </c>
      <c r="W45" s="7"/>
      <c r="X45" s="12"/>
      <c r="Y45" s="7">
        <v>9</v>
      </c>
      <c r="Z45" s="7">
        <v>9</v>
      </c>
      <c r="AA45" s="7">
        <v>0.25</v>
      </c>
      <c r="AB45" s="7"/>
      <c r="AC45" s="7"/>
      <c r="AD45" s="62" t="s">
        <v>1163</v>
      </c>
      <c r="AE45" s="4">
        <f>2*4*14/14/60*365*24</f>
        <v>1168</v>
      </c>
      <c r="AF45" s="4"/>
      <c r="AG45" s="4">
        <v>0.5</v>
      </c>
      <c r="AH45" s="9" t="s">
        <v>235</v>
      </c>
      <c r="AI45" s="9" t="s">
        <v>236</v>
      </c>
      <c r="AJ45" s="9"/>
      <c r="AK45" s="9" t="s">
        <v>30</v>
      </c>
      <c r="AL45" s="10"/>
      <c r="AM45" s="10"/>
      <c r="AN45" s="10"/>
      <c r="AO45" s="10"/>
      <c r="AP45" s="10"/>
      <c r="AQ45" s="11" t="s">
        <v>237</v>
      </c>
      <c r="AR45" s="4"/>
      <c r="AS45" s="10"/>
      <c r="AT45" s="10" t="s">
        <v>1081</v>
      </c>
      <c r="AU45" s="10"/>
      <c r="AV45" s="10"/>
      <c r="AW45" s="10"/>
      <c r="AX45" s="10"/>
      <c r="AY45" s="10"/>
      <c r="AZ45" s="10"/>
      <c r="BA45" s="10"/>
      <c r="BB45" s="10"/>
      <c r="BC45" s="10" t="s">
        <v>234</v>
      </c>
      <c r="BD45" s="10"/>
    </row>
    <row r="46" spans="1:56" ht="105" x14ac:dyDescent="0.25">
      <c r="A46" s="4" t="s">
        <v>963</v>
      </c>
      <c r="B46" s="4"/>
      <c r="C46" s="4" t="s">
        <v>22</v>
      </c>
      <c r="D46" s="4" t="s">
        <v>101</v>
      </c>
      <c r="E46" s="5" t="s">
        <v>24</v>
      </c>
      <c r="F46" s="4"/>
      <c r="G46" s="4" t="s">
        <v>35</v>
      </c>
      <c r="H46" s="62" t="s">
        <v>1000</v>
      </c>
      <c r="I46" s="12">
        <v>100</v>
      </c>
      <c r="J46" s="12">
        <f>100*2/Crew_Size</f>
        <v>40</v>
      </c>
      <c r="K46" s="12">
        <v>0.25</v>
      </c>
      <c r="L46" s="12">
        <v>0.27</v>
      </c>
      <c r="M46" s="64">
        <f>technologies[[#This Row],[Volume
Literature]]*2/Crew_Size</f>
        <v>0.10800000000000001</v>
      </c>
      <c r="N46" s="12">
        <v>0.25</v>
      </c>
      <c r="O46" s="12"/>
      <c r="P46" s="12">
        <f>technologies[[#This Row],[Power]]</f>
        <v>20</v>
      </c>
      <c r="Q46" s="12">
        <v>0</v>
      </c>
      <c r="R46" s="12"/>
      <c r="S46" s="12">
        <f>100/Crew_Size</f>
        <v>20</v>
      </c>
      <c r="T46" s="12">
        <v>0</v>
      </c>
      <c r="U46" s="12">
        <v>124</v>
      </c>
      <c r="V46" s="12">
        <v>124</v>
      </c>
      <c r="W46" s="7"/>
      <c r="X46" s="12"/>
      <c r="Y46" s="7"/>
      <c r="Z46" s="7">
        <v>7</v>
      </c>
      <c r="AA46" s="7">
        <v>0.25</v>
      </c>
      <c r="AB46" s="7"/>
      <c r="AC46" s="7"/>
      <c r="AD46" s="4" t="s">
        <v>238</v>
      </c>
      <c r="AE46" s="13">
        <f>2</f>
        <v>2</v>
      </c>
      <c r="AF46" s="13"/>
      <c r="AG46" s="4">
        <v>0.75</v>
      </c>
      <c r="AH46" s="9"/>
      <c r="AI46" s="9"/>
      <c r="AJ46" s="9"/>
      <c r="AK46" s="9" t="s">
        <v>30</v>
      </c>
      <c r="AL46" s="10"/>
      <c r="AM46" s="10"/>
      <c r="AN46" s="10"/>
      <c r="AO46" s="10"/>
      <c r="AP46" s="10"/>
      <c r="AQ46" s="11" t="s">
        <v>239</v>
      </c>
      <c r="AR46" s="4" t="s">
        <v>32</v>
      </c>
      <c r="AS46" s="10" t="s">
        <v>871</v>
      </c>
      <c r="AT46" s="10"/>
      <c r="AU46" s="10"/>
      <c r="AV46" s="10"/>
      <c r="AW46" s="10"/>
      <c r="AX46" s="10"/>
      <c r="AY46" s="10"/>
      <c r="AZ46" s="10"/>
      <c r="BA46" s="10"/>
      <c r="BB46" s="10"/>
      <c r="BC46" s="10"/>
      <c r="BD46" s="10"/>
    </row>
    <row r="47" spans="1:56" ht="165" x14ac:dyDescent="0.25">
      <c r="A47" s="4" t="s">
        <v>240</v>
      </c>
      <c r="B47" s="4"/>
      <c r="C47" s="4" t="s">
        <v>186</v>
      </c>
      <c r="D47" s="4" t="s">
        <v>131</v>
      </c>
      <c r="E47" s="5"/>
      <c r="F47" s="6"/>
      <c r="G47" s="4" t="s">
        <v>26</v>
      </c>
      <c r="H47" s="62" t="s">
        <v>241</v>
      </c>
      <c r="I47" s="12"/>
      <c r="J47" s="12"/>
      <c r="K47" s="12"/>
      <c r="L47" s="12"/>
      <c r="M47" s="64"/>
      <c r="N47" s="12"/>
      <c r="O47" s="12"/>
      <c r="P47" s="12"/>
      <c r="Q47" s="12"/>
      <c r="R47" s="12"/>
      <c r="S47" s="12"/>
      <c r="T47" s="12"/>
      <c r="U47" s="12"/>
      <c r="V47" s="12"/>
      <c r="W47" s="7"/>
      <c r="X47" s="12"/>
      <c r="Y47" s="7"/>
      <c r="Z47" s="7"/>
      <c r="AA47" s="7"/>
      <c r="AB47" s="7"/>
      <c r="AC47" s="7"/>
      <c r="AD47" s="4"/>
      <c r="AE47" s="4"/>
      <c r="AF47" s="4"/>
      <c r="AG47" s="4"/>
      <c r="AH47" s="9"/>
      <c r="AI47" s="9"/>
      <c r="AJ47" s="9"/>
      <c r="AK47" s="9" t="s">
        <v>30</v>
      </c>
      <c r="AL47" s="10"/>
      <c r="AM47" s="10"/>
      <c r="AN47" s="10"/>
      <c r="AO47" s="10"/>
      <c r="AP47" s="10"/>
      <c r="AQ47" s="11">
        <v>6</v>
      </c>
      <c r="AR47" s="4"/>
      <c r="AS47" s="10" t="s">
        <v>958</v>
      </c>
      <c r="AT47" s="10"/>
      <c r="AU47" s="10"/>
      <c r="AV47" s="10"/>
      <c r="AW47" s="10"/>
      <c r="AX47" s="10"/>
      <c r="AY47" s="10"/>
      <c r="AZ47" s="10"/>
      <c r="BA47" s="10"/>
      <c r="BB47" s="10"/>
      <c r="BC47" s="10"/>
      <c r="BD47" s="10"/>
    </row>
    <row r="48" spans="1:56" ht="75" x14ac:dyDescent="0.25">
      <c r="A48" s="4" t="s">
        <v>242</v>
      </c>
      <c r="B48" s="4"/>
      <c r="C48" s="4" t="s">
        <v>186</v>
      </c>
      <c r="D48" s="4" t="s">
        <v>131</v>
      </c>
      <c r="E48" s="5"/>
      <c r="F48" s="6"/>
      <c r="G48" s="4" t="s">
        <v>26</v>
      </c>
      <c r="H48" s="62" t="s">
        <v>243</v>
      </c>
      <c r="I48" s="12"/>
      <c r="J48" s="12"/>
      <c r="K48" s="12"/>
      <c r="L48" s="12"/>
      <c r="M48" s="64"/>
      <c r="N48" s="12"/>
      <c r="O48" s="12"/>
      <c r="P48" s="12"/>
      <c r="Q48" s="12"/>
      <c r="R48" s="12"/>
      <c r="S48" s="12"/>
      <c r="T48" s="12"/>
      <c r="U48" s="12"/>
      <c r="V48" s="12"/>
      <c r="W48" s="7"/>
      <c r="X48" s="12"/>
      <c r="Y48" s="7"/>
      <c r="Z48" s="7"/>
      <c r="AA48" s="7"/>
      <c r="AB48" s="7"/>
      <c r="AC48" s="7"/>
      <c r="AD48" s="4"/>
      <c r="AE48" s="4"/>
      <c r="AF48" s="4"/>
      <c r="AG48" s="4"/>
      <c r="AH48" s="9"/>
      <c r="AI48" s="9"/>
      <c r="AJ48" s="9"/>
      <c r="AK48" s="9" t="s">
        <v>30</v>
      </c>
      <c r="AL48" s="10"/>
      <c r="AM48" s="10"/>
      <c r="AN48" s="10"/>
      <c r="AO48" s="10"/>
      <c r="AP48" s="10"/>
      <c r="AQ48" s="11">
        <v>5</v>
      </c>
      <c r="AR48" s="4"/>
      <c r="AS48" s="10" t="s">
        <v>958</v>
      </c>
      <c r="AT48" s="10"/>
      <c r="AU48" s="10"/>
      <c r="AV48" s="10"/>
      <c r="AW48" s="10"/>
      <c r="AX48" s="10"/>
      <c r="AY48" s="10"/>
      <c r="AZ48" s="10"/>
      <c r="BA48" s="10"/>
      <c r="BB48" s="10"/>
      <c r="BC48" s="10"/>
      <c r="BD48" s="10"/>
    </row>
    <row r="49" spans="1:56" ht="240" x14ac:dyDescent="0.25">
      <c r="A49" s="4" t="s">
        <v>979</v>
      </c>
      <c r="B49" s="4" t="s">
        <v>1475</v>
      </c>
      <c r="C49" s="4" t="s">
        <v>22</v>
      </c>
      <c r="D49" s="4" t="s">
        <v>33</v>
      </c>
      <c r="E49" s="5" t="s">
        <v>34</v>
      </c>
      <c r="F49" s="4"/>
      <c r="G49" s="4" t="s">
        <v>35</v>
      </c>
      <c r="H49" s="62" t="s">
        <v>1131</v>
      </c>
      <c r="I49" s="12" t="s">
        <v>730</v>
      </c>
      <c r="J49" s="12">
        <v>39.5</v>
      </c>
      <c r="K49" s="12">
        <v>0.75</v>
      </c>
      <c r="L49" s="12" t="s">
        <v>731</v>
      </c>
      <c r="M49" s="64">
        <v>8.666666666666667E-2</v>
      </c>
      <c r="N49" s="12">
        <v>0.75</v>
      </c>
      <c r="O49" s="12"/>
      <c r="P49" s="12">
        <v>76.666666666666657</v>
      </c>
      <c r="Q49" s="12">
        <v>0.5</v>
      </c>
      <c r="R49" s="12" t="s">
        <v>244</v>
      </c>
      <c r="S49" s="12">
        <v>76.666666666666657</v>
      </c>
      <c r="T49" s="12">
        <v>0.75</v>
      </c>
      <c r="U49" s="12">
        <v>39.5</v>
      </c>
      <c r="V49" s="12">
        <v>39.5</v>
      </c>
      <c r="W49" s="7">
        <v>90</v>
      </c>
      <c r="X49" s="12">
        <v>6.6666666666666662E-3</v>
      </c>
      <c r="Y49" s="7" t="s">
        <v>246</v>
      </c>
      <c r="Z49" s="7">
        <v>4</v>
      </c>
      <c r="AA49" s="7">
        <v>0.75</v>
      </c>
      <c r="AB49" s="7"/>
      <c r="AC49" s="7"/>
      <c r="AD49" s="4"/>
      <c r="AE49" s="4"/>
      <c r="AF49" s="4"/>
      <c r="AG49" s="4"/>
      <c r="AH49" s="9" t="s">
        <v>247</v>
      </c>
      <c r="AI49" s="9" t="s">
        <v>248</v>
      </c>
      <c r="AJ49" s="9"/>
      <c r="AK49" s="9" t="s">
        <v>30</v>
      </c>
      <c r="AL49" s="10"/>
      <c r="AM49" s="10"/>
      <c r="AN49" s="10"/>
      <c r="AO49" s="10"/>
      <c r="AP49" s="10"/>
      <c r="AQ49" s="11" t="s">
        <v>249</v>
      </c>
      <c r="AR49" s="4"/>
      <c r="AS49" s="10" t="s">
        <v>856</v>
      </c>
      <c r="AT49" s="10" t="s">
        <v>903</v>
      </c>
      <c r="AU49" s="10" t="s">
        <v>1081</v>
      </c>
      <c r="AV49" s="10" t="s">
        <v>905</v>
      </c>
      <c r="AW49" s="10"/>
      <c r="AX49" s="10"/>
      <c r="AY49" s="10"/>
      <c r="AZ49" s="10"/>
      <c r="BA49" s="10"/>
      <c r="BB49" s="10"/>
      <c r="BC49" s="10" t="s">
        <v>245</v>
      </c>
      <c r="BD49" s="10" t="s">
        <v>1100</v>
      </c>
    </row>
    <row r="50" spans="1:56" ht="345" x14ac:dyDescent="0.25">
      <c r="A50" s="4" t="s">
        <v>1091</v>
      </c>
      <c r="B50" s="4" t="s">
        <v>1476</v>
      </c>
      <c r="C50" s="4" t="s">
        <v>22</v>
      </c>
      <c r="D50" s="4" t="s">
        <v>33</v>
      </c>
      <c r="E50" s="5" t="s">
        <v>34</v>
      </c>
      <c r="F50" s="4"/>
      <c r="G50" s="4" t="s">
        <v>35</v>
      </c>
      <c r="H50" s="62" t="s">
        <v>1001</v>
      </c>
      <c r="I50" s="12" t="s">
        <v>1212</v>
      </c>
      <c r="J50" s="12">
        <f>195.4/6</f>
        <v>32.56666666666667</v>
      </c>
      <c r="K50" s="12">
        <v>1</v>
      </c>
      <c r="L50" s="12" t="s">
        <v>732</v>
      </c>
      <c r="M50" s="64">
        <f>0.39/6</f>
        <v>6.5000000000000002E-2</v>
      </c>
      <c r="N50" s="12">
        <v>1</v>
      </c>
      <c r="O50" s="12" t="s">
        <v>1092</v>
      </c>
      <c r="P50" s="12">
        <f>860/6</f>
        <v>143.33333333333334</v>
      </c>
      <c r="Q50" s="12">
        <v>0.75</v>
      </c>
      <c r="R50" s="12" t="s">
        <v>250</v>
      </c>
      <c r="S50" s="12">
        <f>860/6</f>
        <v>143.33333333333334</v>
      </c>
      <c r="T50" s="12">
        <v>0.75</v>
      </c>
      <c r="U50" s="12">
        <v>0</v>
      </c>
      <c r="V50" s="12">
        <v>50.67562920000001</v>
      </c>
      <c r="W50" s="7" t="s">
        <v>252</v>
      </c>
      <c r="X50" s="12">
        <v>6.0999999999999999E-2</v>
      </c>
      <c r="Y50" s="7" t="s">
        <v>253</v>
      </c>
      <c r="Z50" s="7">
        <v>9</v>
      </c>
      <c r="AA50" s="7">
        <v>1</v>
      </c>
      <c r="AB50" s="8">
        <f>1/(1/156200+1/129700+1/100000+1/77100+1/242700+1/129700+1/2272000+1/117000+1/77100)</f>
        <v>14110.333149554977</v>
      </c>
      <c r="AC50" s="7">
        <v>0.75</v>
      </c>
      <c r="AD50" s="4" t="s">
        <v>1156</v>
      </c>
      <c r="AE50" s="13"/>
      <c r="AF50" s="13">
        <v>2.7</v>
      </c>
      <c r="AG50" s="4">
        <v>0.75</v>
      </c>
      <c r="AH50" s="9"/>
      <c r="AI50" s="9"/>
      <c r="AJ50" s="9"/>
      <c r="AK50" s="9" t="s">
        <v>30</v>
      </c>
      <c r="AL50" s="10"/>
      <c r="AM50" s="10" t="s">
        <v>254</v>
      </c>
      <c r="AN50" s="10" t="s">
        <v>255</v>
      </c>
      <c r="AO50" s="10" t="s">
        <v>254</v>
      </c>
      <c r="AP50" s="10" t="s">
        <v>256</v>
      </c>
      <c r="AQ50" s="11" t="s">
        <v>257</v>
      </c>
      <c r="AR50" s="4" t="s">
        <v>258</v>
      </c>
      <c r="AS50" s="10"/>
      <c r="AT50" s="10" t="s">
        <v>1081</v>
      </c>
      <c r="AU50" s="10"/>
      <c r="AV50" s="10"/>
      <c r="AW50" s="10"/>
      <c r="AX50" s="10"/>
      <c r="AY50" s="10"/>
      <c r="AZ50" s="10"/>
      <c r="BA50" s="10"/>
      <c r="BB50" s="10"/>
      <c r="BC50" s="10" t="s">
        <v>251</v>
      </c>
      <c r="BD50" s="10" t="s">
        <v>1097</v>
      </c>
    </row>
    <row r="51" spans="1:56" ht="375" x14ac:dyDescent="0.25">
      <c r="A51" s="4" t="s">
        <v>259</v>
      </c>
      <c r="B51" s="4" t="s">
        <v>25</v>
      </c>
      <c r="C51" s="4" t="s">
        <v>22</v>
      </c>
      <c r="D51" s="4" t="s">
        <v>23</v>
      </c>
      <c r="E51" s="5" t="s">
        <v>24</v>
      </c>
      <c r="F51" s="4"/>
      <c r="G51" s="4" t="s">
        <v>35</v>
      </c>
      <c r="H51" s="62" t="s">
        <v>260</v>
      </c>
      <c r="I51" s="12" t="s">
        <v>733</v>
      </c>
      <c r="J51" s="12">
        <v>79.831800000000001</v>
      </c>
      <c r="K51" s="12">
        <v>1</v>
      </c>
      <c r="L51" s="12" t="s">
        <v>734</v>
      </c>
      <c r="M51" s="64">
        <f>0.271866</f>
        <v>0.271866</v>
      </c>
      <c r="N51" s="12">
        <v>1</v>
      </c>
      <c r="O51" s="12" t="s">
        <v>1099</v>
      </c>
      <c r="P51" s="12">
        <f>130</f>
        <v>130</v>
      </c>
      <c r="Q51" s="12">
        <v>1</v>
      </c>
      <c r="R51" s="12" t="s">
        <v>1098</v>
      </c>
      <c r="S51" s="12">
        <f>180</f>
        <v>180</v>
      </c>
      <c r="T51" s="12">
        <v>1</v>
      </c>
      <c r="U51" s="12">
        <v>49.495716000000002</v>
      </c>
      <c r="V51" s="12">
        <v>49.495716000000002</v>
      </c>
      <c r="W51" s="7"/>
      <c r="X51" s="12">
        <v>6.6027397260273971E-2</v>
      </c>
      <c r="Y51" s="7" t="s">
        <v>262</v>
      </c>
      <c r="Z51" s="7">
        <v>9</v>
      </c>
      <c r="AA51" s="7">
        <v>1</v>
      </c>
      <c r="AB51" s="8">
        <f>1/(1/215000+1/121500+1/89500+1/483000+1/936000+1/241000)</f>
        <v>31905.104662908674</v>
      </c>
      <c r="AC51" s="7">
        <v>0.75</v>
      </c>
      <c r="AD51" s="4" t="s">
        <v>1137</v>
      </c>
      <c r="AE51" s="13"/>
      <c r="AF51" s="13">
        <f>4.37</f>
        <v>4.37</v>
      </c>
      <c r="AG51" s="4">
        <v>0.75</v>
      </c>
      <c r="AH51" s="9" t="s">
        <v>263</v>
      </c>
      <c r="AI51" s="9" t="s">
        <v>264</v>
      </c>
      <c r="AJ51" s="9" t="s">
        <v>265</v>
      </c>
      <c r="AK51" s="9" t="s">
        <v>30</v>
      </c>
      <c r="AL51" s="10"/>
      <c r="AM51" s="10" t="s">
        <v>266</v>
      </c>
      <c r="AN51" s="10" t="s">
        <v>267</v>
      </c>
      <c r="AO51" s="10"/>
      <c r="AP51" s="10" t="s">
        <v>268</v>
      </c>
      <c r="AQ51" s="11" t="s">
        <v>269</v>
      </c>
      <c r="AR51" s="4" t="s">
        <v>32</v>
      </c>
      <c r="AS51" s="10" t="s">
        <v>855</v>
      </c>
      <c r="AT51" s="10"/>
      <c r="AU51" s="10"/>
      <c r="AV51" s="10"/>
      <c r="AW51" s="10"/>
      <c r="AX51" s="10"/>
      <c r="AY51" s="10"/>
      <c r="AZ51" s="10"/>
      <c r="BA51" s="10"/>
      <c r="BB51" s="10"/>
      <c r="BC51" s="10" t="s">
        <v>261</v>
      </c>
      <c r="BD51" s="10">
        <v>101</v>
      </c>
    </row>
    <row r="52" spans="1:56" ht="210" x14ac:dyDescent="0.25">
      <c r="A52" s="4" t="s">
        <v>270</v>
      </c>
      <c r="B52" s="4"/>
      <c r="C52" s="4" t="s">
        <v>46</v>
      </c>
      <c r="D52" s="4" t="s">
        <v>165</v>
      </c>
      <c r="E52" s="5" t="s">
        <v>24</v>
      </c>
      <c r="F52" s="4"/>
      <c r="G52" s="4" t="s">
        <v>67</v>
      </c>
      <c r="H52" s="62" t="s">
        <v>1107</v>
      </c>
      <c r="I52" s="12" t="s">
        <v>736</v>
      </c>
      <c r="J52" s="12">
        <v>80.14898035363457</v>
      </c>
      <c r="K52" s="12">
        <v>0.5</v>
      </c>
      <c r="L52" s="12" t="s">
        <v>735</v>
      </c>
      <c r="M52" s="64">
        <v>0.37034695481335944</v>
      </c>
      <c r="N52" s="12">
        <v>0.5</v>
      </c>
      <c r="O52" s="12" t="s">
        <v>1135</v>
      </c>
      <c r="P52" s="12">
        <v>167.31161100196462</v>
      </c>
      <c r="Q52" s="12">
        <v>0.5</v>
      </c>
      <c r="R52" s="12" t="s">
        <v>1134</v>
      </c>
      <c r="S52" s="12">
        <v>167.31161100196462</v>
      </c>
      <c r="T52" s="12">
        <v>0.5</v>
      </c>
      <c r="U52" s="12"/>
      <c r="V52" s="12"/>
      <c r="W52" s="7" t="s">
        <v>1133</v>
      </c>
      <c r="X52" s="12">
        <v>0.26874734774066794</v>
      </c>
      <c r="Y52" s="7" t="s">
        <v>273</v>
      </c>
      <c r="Z52" s="7">
        <v>9</v>
      </c>
      <c r="AA52" s="7">
        <v>1</v>
      </c>
      <c r="AB52" s="8">
        <v>40600</v>
      </c>
      <c r="AC52" s="7">
        <v>0.5</v>
      </c>
      <c r="AD52" s="4" t="s">
        <v>274</v>
      </c>
      <c r="AE52" s="13">
        <f>128/9*Crew_Size/500*Mission_Duration</f>
        <v>85.333333333333329</v>
      </c>
      <c r="AF52" s="13"/>
      <c r="AG52" s="4">
        <v>0.5</v>
      </c>
      <c r="AH52" s="9" t="s">
        <v>275</v>
      </c>
      <c r="AI52" s="9" t="s">
        <v>276</v>
      </c>
      <c r="AJ52" s="9" t="s">
        <v>277</v>
      </c>
      <c r="AK52" s="9" t="s">
        <v>30</v>
      </c>
      <c r="AL52" s="10" t="s">
        <v>278</v>
      </c>
      <c r="AM52" s="10" t="s">
        <v>279</v>
      </c>
      <c r="AN52" s="10" t="s">
        <v>280</v>
      </c>
      <c r="AO52" s="10" t="s">
        <v>281</v>
      </c>
      <c r="AP52" s="10" t="s">
        <v>282</v>
      </c>
      <c r="AQ52" s="11" t="s">
        <v>283</v>
      </c>
      <c r="AR52" s="4" t="s">
        <v>284</v>
      </c>
      <c r="AS52" s="10" t="s">
        <v>861</v>
      </c>
      <c r="AT52" s="10" t="s">
        <v>858</v>
      </c>
      <c r="AU52" s="10" t="s">
        <v>859</v>
      </c>
      <c r="AV52" s="10"/>
      <c r="AW52" s="10"/>
      <c r="AX52" s="10"/>
      <c r="AY52" s="10"/>
      <c r="AZ52" s="10"/>
      <c r="BA52" s="10"/>
      <c r="BB52" s="10"/>
      <c r="BC52" s="10" t="s">
        <v>271</v>
      </c>
      <c r="BD52" s="10" t="s">
        <v>272</v>
      </c>
    </row>
    <row r="53" spans="1:56" ht="30" x14ac:dyDescent="0.25">
      <c r="A53" s="4" t="s">
        <v>285</v>
      </c>
      <c r="B53" s="4"/>
      <c r="C53" s="4" t="s">
        <v>66</v>
      </c>
      <c r="D53" s="4" t="s">
        <v>23</v>
      </c>
      <c r="E53" s="5" t="s">
        <v>34</v>
      </c>
      <c r="F53" s="4" t="s">
        <v>221</v>
      </c>
      <c r="G53" s="4" t="s">
        <v>26</v>
      </c>
      <c r="H53" s="4" t="s">
        <v>286</v>
      </c>
      <c r="I53" s="12" t="s">
        <v>1157</v>
      </c>
      <c r="J53" s="12"/>
      <c r="K53" s="12"/>
      <c r="L53" s="12" t="s">
        <v>1158</v>
      </c>
      <c r="M53" s="64"/>
      <c r="N53" s="12"/>
      <c r="O53" s="12">
        <v>0</v>
      </c>
      <c r="P53" s="12"/>
      <c r="Q53" s="12"/>
      <c r="R53" s="12">
        <v>0</v>
      </c>
      <c r="S53" s="12"/>
      <c r="T53" s="12"/>
      <c r="U53" s="12"/>
      <c r="V53" s="12"/>
      <c r="W53" s="7"/>
      <c r="X53" s="12"/>
      <c r="Y53" s="7"/>
      <c r="Z53" s="7"/>
      <c r="AA53" s="7"/>
      <c r="AB53" s="7"/>
      <c r="AC53" s="7"/>
      <c r="AD53" s="4"/>
      <c r="AE53" s="4"/>
      <c r="AF53" s="4"/>
      <c r="AG53" s="4"/>
      <c r="AH53" s="9"/>
      <c r="AI53" s="9"/>
      <c r="AJ53" s="9"/>
      <c r="AK53" s="9" t="s">
        <v>30</v>
      </c>
      <c r="AL53" s="10"/>
      <c r="AM53" s="10"/>
      <c r="AN53" s="10"/>
      <c r="AO53" s="10"/>
      <c r="AP53" s="10"/>
      <c r="AQ53" s="11" t="s">
        <v>231</v>
      </c>
      <c r="AR53" s="4" t="s">
        <v>287</v>
      </c>
      <c r="AS53" s="10"/>
      <c r="AT53" s="10"/>
      <c r="AU53" s="10"/>
      <c r="AV53" s="10"/>
      <c r="AW53" s="10"/>
      <c r="AX53" s="10"/>
      <c r="AY53" s="10"/>
      <c r="AZ53" s="10"/>
      <c r="BA53" s="10"/>
      <c r="BB53" s="10"/>
      <c r="BC53" s="10"/>
      <c r="BD53" s="10"/>
    </row>
    <row r="54" spans="1:56" ht="30" x14ac:dyDescent="0.25">
      <c r="A54" s="4" t="s">
        <v>288</v>
      </c>
      <c r="B54" s="4"/>
      <c r="C54" s="4" t="s">
        <v>66</v>
      </c>
      <c r="D54" s="4" t="s">
        <v>23</v>
      </c>
      <c r="E54" s="5" t="s">
        <v>34</v>
      </c>
      <c r="F54" s="6"/>
      <c r="G54" s="4" t="s">
        <v>26</v>
      </c>
      <c r="H54" s="4"/>
      <c r="I54" s="12">
        <v>0.90710000000000002</v>
      </c>
      <c r="J54" s="12"/>
      <c r="K54" s="12"/>
      <c r="L54" s="12">
        <v>1.8900000000000001E-4</v>
      </c>
      <c r="M54" s="64"/>
      <c r="N54" s="12"/>
      <c r="O54" s="12"/>
      <c r="P54" s="12"/>
      <c r="Q54" s="12"/>
      <c r="R54" s="12"/>
      <c r="S54" s="12"/>
      <c r="T54" s="12"/>
      <c r="U54" s="12"/>
      <c r="V54" s="12"/>
      <c r="W54" s="7"/>
      <c r="X54" s="12"/>
      <c r="Y54" s="7"/>
      <c r="Z54" s="7"/>
      <c r="AA54" s="7"/>
      <c r="AB54" s="7"/>
      <c r="AC54" s="7"/>
      <c r="AD54" s="4"/>
      <c r="AE54" s="4"/>
      <c r="AF54" s="4"/>
      <c r="AG54" s="4"/>
      <c r="AH54" s="9"/>
      <c r="AI54" s="9"/>
      <c r="AJ54" s="9"/>
      <c r="AK54" s="9" t="s">
        <v>30</v>
      </c>
      <c r="AL54" s="10"/>
      <c r="AM54" s="10"/>
      <c r="AN54" s="10"/>
      <c r="AO54" s="10"/>
      <c r="AP54" s="10"/>
      <c r="AQ54" s="11">
        <v>11</v>
      </c>
      <c r="AR54" s="4" t="s">
        <v>32</v>
      </c>
      <c r="AS54" s="10" t="s">
        <v>954</v>
      </c>
      <c r="AT54" s="10" t="s">
        <v>955</v>
      </c>
      <c r="AU54" s="10"/>
      <c r="AV54" s="10"/>
      <c r="AW54" s="10"/>
      <c r="AX54" s="10"/>
      <c r="AY54" s="10"/>
      <c r="AZ54" s="10"/>
      <c r="BA54" s="10"/>
      <c r="BB54" s="10"/>
      <c r="BC54" s="10"/>
      <c r="BD54" s="10"/>
    </row>
    <row r="55" spans="1:56" ht="30" x14ac:dyDescent="0.25">
      <c r="A55" s="4" t="s">
        <v>289</v>
      </c>
      <c r="B55" s="4"/>
      <c r="C55" s="4" t="s">
        <v>66</v>
      </c>
      <c r="D55" s="4" t="s">
        <v>101</v>
      </c>
      <c r="E55" s="5" t="s">
        <v>34</v>
      </c>
      <c r="F55" s="6"/>
      <c r="G55" s="4" t="s">
        <v>26</v>
      </c>
      <c r="H55" s="4" t="s">
        <v>290</v>
      </c>
      <c r="I55" s="12">
        <v>0.84360000000000002</v>
      </c>
      <c r="J55" s="12"/>
      <c r="K55" s="12"/>
      <c r="L55" s="12">
        <v>2.5479999999999999E-3</v>
      </c>
      <c r="M55" s="64"/>
      <c r="N55" s="12"/>
      <c r="O55" s="12"/>
      <c r="P55" s="12"/>
      <c r="Q55" s="12"/>
      <c r="R55" s="12"/>
      <c r="S55" s="12"/>
      <c r="T55" s="12"/>
      <c r="U55" s="12"/>
      <c r="V55" s="12"/>
      <c r="W55" s="7"/>
      <c r="X55" s="12"/>
      <c r="Y55" s="7"/>
      <c r="Z55" s="7"/>
      <c r="AA55" s="7"/>
      <c r="AB55" s="7"/>
      <c r="AC55" s="7"/>
      <c r="AD55" s="4"/>
      <c r="AE55" s="4"/>
      <c r="AF55" s="4"/>
      <c r="AG55" s="4"/>
      <c r="AH55" s="9"/>
      <c r="AI55" s="9"/>
      <c r="AJ55" s="9"/>
      <c r="AK55" s="9" t="s">
        <v>30</v>
      </c>
      <c r="AL55" s="10"/>
      <c r="AM55" s="10"/>
      <c r="AN55" s="10"/>
      <c r="AO55" s="10"/>
      <c r="AP55" s="10"/>
      <c r="AQ55" s="11">
        <v>11</v>
      </c>
      <c r="AR55" s="4" t="s">
        <v>32</v>
      </c>
      <c r="AS55" s="10" t="s">
        <v>955</v>
      </c>
      <c r="AT55" s="10"/>
      <c r="AU55" s="10"/>
      <c r="AV55" s="10"/>
      <c r="AW55" s="10"/>
      <c r="AX55" s="10"/>
      <c r="AY55" s="10"/>
      <c r="AZ55" s="10"/>
      <c r="BA55" s="10"/>
      <c r="BB55" s="10"/>
      <c r="BC55" s="10"/>
      <c r="BD55" s="10"/>
    </row>
    <row r="56" spans="1:56" ht="60" x14ac:dyDescent="0.25">
      <c r="A56" s="4" t="s">
        <v>291</v>
      </c>
      <c r="B56" s="4"/>
      <c r="C56" s="4" t="s">
        <v>22</v>
      </c>
      <c r="D56" s="4" t="s">
        <v>292</v>
      </c>
      <c r="E56" s="5" t="s">
        <v>24</v>
      </c>
      <c r="F56" s="6"/>
      <c r="G56" s="4" t="s">
        <v>26</v>
      </c>
      <c r="H56" s="62" t="s">
        <v>1002</v>
      </c>
      <c r="I56" s="12"/>
      <c r="J56" s="12"/>
      <c r="K56" s="12"/>
      <c r="L56" s="12"/>
      <c r="M56" s="64"/>
      <c r="N56" s="12"/>
      <c r="O56" s="12"/>
      <c r="P56" s="12"/>
      <c r="Q56" s="12"/>
      <c r="R56" s="12"/>
      <c r="S56" s="12"/>
      <c r="T56" s="12"/>
      <c r="U56" s="12"/>
      <c r="V56" s="12"/>
      <c r="W56" s="7"/>
      <c r="X56" s="12"/>
      <c r="Y56" s="7"/>
      <c r="Z56" s="7"/>
      <c r="AA56" s="7"/>
      <c r="AB56" s="7"/>
      <c r="AC56" s="7"/>
      <c r="AD56" s="4"/>
      <c r="AE56" s="4"/>
      <c r="AF56" s="4"/>
      <c r="AG56" s="4"/>
      <c r="AH56" s="9"/>
      <c r="AI56" s="9" t="s">
        <v>293</v>
      </c>
      <c r="AJ56" s="9"/>
      <c r="AK56" s="9" t="s">
        <v>294</v>
      </c>
      <c r="AL56" s="10" t="s">
        <v>295</v>
      </c>
      <c r="AM56" s="10"/>
      <c r="AN56" s="10"/>
      <c r="AO56" s="10"/>
      <c r="AP56" s="10"/>
      <c r="AQ56" s="11">
        <v>1</v>
      </c>
      <c r="AR56" s="4"/>
      <c r="AS56" s="10"/>
      <c r="AT56" s="10"/>
      <c r="AU56" s="10"/>
      <c r="AV56" s="10"/>
      <c r="AW56" s="10"/>
      <c r="AX56" s="10"/>
      <c r="AY56" s="10"/>
      <c r="AZ56" s="10"/>
      <c r="BA56" s="10"/>
      <c r="BB56" s="10"/>
      <c r="BC56" s="10"/>
      <c r="BD56" s="10"/>
    </row>
    <row r="57" spans="1:56" ht="135" x14ac:dyDescent="0.25">
      <c r="A57" s="4" t="s">
        <v>296</v>
      </c>
      <c r="B57" s="4"/>
      <c r="C57" s="4" t="s">
        <v>22</v>
      </c>
      <c r="D57" s="4" t="s">
        <v>292</v>
      </c>
      <c r="E57" s="5" t="s">
        <v>24</v>
      </c>
      <c r="F57" s="6"/>
      <c r="G57" s="4" t="s">
        <v>26</v>
      </c>
      <c r="H57" s="62" t="s">
        <v>1003</v>
      </c>
      <c r="I57" s="12"/>
      <c r="J57" s="12"/>
      <c r="K57" s="12"/>
      <c r="L57" s="12"/>
      <c r="M57" s="64"/>
      <c r="N57" s="12"/>
      <c r="O57" s="12"/>
      <c r="P57" s="12"/>
      <c r="Q57" s="12"/>
      <c r="R57" s="12"/>
      <c r="S57" s="12"/>
      <c r="T57" s="12"/>
      <c r="U57" s="12"/>
      <c r="V57" s="12"/>
      <c r="W57" s="7"/>
      <c r="X57" s="12"/>
      <c r="Y57" s="7"/>
      <c r="Z57" s="7"/>
      <c r="AA57" s="7"/>
      <c r="AB57" s="7"/>
      <c r="AC57" s="7"/>
      <c r="AD57" s="4"/>
      <c r="AE57" s="4"/>
      <c r="AF57" s="4"/>
      <c r="AG57" s="4"/>
      <c r="AH57" s="9" t="s">
        <v>297</v>
      </c>
      <c r="AI57" s="9" t="s">
        <v>298</v>
      </c>
      <c r="AJ57" s="9"/>
      <c r="AK57" s="9" t="s">
        <v>299</v>
      </c>
      <c r="AL57" s="10" t="s">
        <v>300</v>
      </c>
      <c r="AM57" s="10"/>
      <c r="AN57" s="10"/>
      <c r="AO57" s="10"/>
      <c r="AP57" s="10"/>
      <c r="AQ57" s="11">
        <v>1</v>
      </c>
      <c r="AR57" s="4"/>
      <c r="AS57" s="10"/>
      <c r="AT57" s="10"/>
      <c r="AU57" s="10" t="s">
        <v>867</v>
      </c>
      <c r="AV57" s="10"/>
      <c r="AW57" s="10"/>
      <c r="AX57" s="10"/>
      <c r="AY57" s="10"/>
      <c r="AZ57" s="10"/>
      <c r="BA57" s="10"/>
      <c r="BB57" s="10"/>
      <c r="BC57" s="10">
        <v>1005</v>
      </c>
      <c r="BD57" s="10" t="s">
        <v>1096</v>
      </c>
    </row>
    <row r="58" spans="1:56" ht="30" x14ac:dyDescent="0.25">
      <c r="A58" s="4" t="s">
        <v>301</v>
      </c>
      <c r="B58" s="4"/>
      <c r="C58" s="4" t="s">
        <v>66</v>
      </c>
      <c r="D58" s="4" t="s">
        <v>23</v>
      </c>
      <c r="E58" s="5" t="s">
        <v>34</v>
      </c>
      <c r="F58" s="6"/>
      <c r="G58" s="4" t="s">
        <v>26</v>
      </c>
      <c r="H58" s="4" t="s">
        <v>302</v>
      </c>
      <c r="I58" s="12" t="s">
        <v>821</v>
      </c>
      <c r="J58" s="12">
        <v>1.5</v>
      </c>
      <c r="K58" s="12"/>
      <c r="L58" s="12" t="s">
        <v>824</v>
      </c>
      <c r="M58" s="64">
        <v>4.0000000000000001E-3</v>
      </c>
      <c r="N58" s="12"/>
      <c r="O58" s="12"/>
      <c r="P58" s="12"/>
      <c r="Q58" s="12"/>
      <c r="R58" s="12" t="s">
        <v>303</v>
      </c>
      <c r="S58" s="12"/>
      <c r="T58" s="12"/>
      <c r="U58" s="12"/>
      <c r="V58" s="12"/>
      <c r="W58" s="7"/>
      <c r="X58" s="12"/>
      <c r="Y58" s="7"/>
      <c r="Z58" s="7"/>
      <c r="AA58" s="7"/>
      <c r="AB58" s="7">
        <f>5*10^5</f>
        <v>500000</v>
      </c>
      <c r="AC58" s="7"/>
      <c r="AD58" s="4"/>
      <c r="AE58" s="4"/>
      <c r="AF58" s="4"/>
      <c r="AG58" s="4"/>
      <c r="AH58" s="9"/>
      <c r="AI58" s="9"/>
      <c r="AJ58" s="9"/>
      <c r="AK58" s="9" t="s">
        <v>30</v>
      </c>
      <c r="AL58" s="10"/>
      <c r="AM58" s="10"/>
      <c r="AN58" s="10"/>
      <c r="AO58" s="10"/>
      <c r="AP58" s="10"/>
      <c r="AQ58" s="11" t="s">
        <v>231</v>
      </c>
      <c r="AR58" s="4" t="s">
        <v>32</v>
      </c>
      <c r="AS58" s="10"/>
      <c r="AT58" s="10"/>
      <c r="AU58" s="10"/>
      <c r="AV58" s="10"/>
      <c r="AW58" s="10"/>
      <c r="AX58" s="10"/>
      <c r="AY58" s="10"/>
      <c r="AZ58" s="10"/>
      <c r="BA58" s="10"/>
      <c r="BB58" s="10"/>
      <c r="BC58" s="10"/>
      <c r="BD58" s="10"/>
    </row>
    <row r="59" spans="1:56" ht="60" x14ac:dyDescent="0.25">
      <c r="A59" s="4" t="s">
        <v>304</v>
      </c>
      <c r="B59" s="4" t="s">
        <v>1477</v>
      </c>
      <c r="C59" s="4" t="s">
        <v>66</v>
      </c>
      <c r="D59" s="4" t="s">
        <v>23</v>
      </c>
      <c r="E59" s="5" t="s">
        <v>34</v>
      </c>
      <c r="F59" s="4"/>
      <c r="G59" s="4" t="s">
        <v>35</v>
      </c>
      <c r="H59" s="62" t="s">
        <v>305</v>
      </c>
      <c r="I59" s="12">
        <v>7.5</v>
      </c>
      <c r="J59" s="12">
        <v>7.5</v>
      </c>
      <c r="K59" s="12">
        <v>0.75</v>
      </c>
      <c r="L59" s="12">
        <v>1.2200000000000001E-2</v>
      </c>
      <c r="M59" s="64">
        <v>1.2200000000000001E-2</v>
      </c>
      <c r="N59" s="12">
        <v>0.75</v>
      </c>
      <c r="O59" s="12"/>
      <c r="P59" s="12">
        <v>0</v>
      </c>
      <c r="Q59" s="12"/>
      <c r="R59" s="12">
        <v>5.5</v>
      </c>
      <c r="S59" s="12">
        <v>5.5</v>
      </c>
      <c r="T59" s="12">
        <v>0.75</v>
      </c>
      <c r="U59" s="12">
        <v>4.6500000000000004</v>
      </c>
      <c r="V59" s="12">
        <v>4.6500000000000004</v>
      </c>
      <c r="W59" s="7"/>
      <c r="X59" s="12"/>
      <c r="Y59" s="7"/>
      <c r="Z59" s="7">
        <v>9</v>
      </c>
      <c r="AA59" s="7">
        <v>1</v>
      </c>
      <c r="AB59" s="7"/>
      <c r="AC59" s="7"/>
      <c r="AD59" s="4"/>
      <c r="AE59" s="4"/>
      <c r="AF59" s="4"/>
      <c r="AG59" s="4"/>
      <c r="AH59" s="9"/>
      <c r="AI59" s="9"/>
      <c r="AJ59" s="9"/>
      <c r="AK59" s="9" t="s">
        <v>30</v>
      </c>
      <c r="AL59" s="10"/>
      <c r="AM59" s="10"/>
      <c r="AN59" s="10"/>
      <c r="AO59" s="10"/>
      <c r="AP59" s="10"/>
      <c r="AQ59" s="11">
        <v>23</v>
      </c>
      <c r="AR59" s="4"/>
      <c r="AS59" s="10" t="s">
        <v>952</v>
      </c>
      <c r="AT59" s="10" t="s">
        <v>866</v>
      </c>
      <c r="AU59" s="10"/>
      <c r="AV59" s="10"/>
      <c r="AW59" s="10"/>
      <c r="AX59" s="10"/>
      <c r="AY59" s="10"/>
      <c r="AZ59" s="10"/>
      <c r="BA59" s="10"/>
      <c r="BB59" s="10"/>
      <c r="BC59" s="10"/>
      <c r="BD59" s="10"/>
    </row>
    <row r="60" spans="1:56" ht="30" x14ac:dyDescent="0.25">
      <c r="A60" s="4" t="s">
        <v>306</v>
      </c>
      <c r="B60" s="4"/>
      <c r="C60" s="4" t="s">
        <v>66</v>
      </c>
      <c r="D60" s="4" t="s">
        <v>23</v>
      </c>
      <c r="E60" s="5" t="s">
        <v>34</v>
      </c>
      <c r="F60" s="6"/>
      <c r="G60" s="4" t="s">
        <v>26</v>
      </c>
      <c r="H60" s="4"/>
      <c r="I60" s="12" t="s">
        <v>820</v>
      </c>
      <c r="J60" s="12"/>
      <c r="K60" s="12"/>
      <c r="L60" s="12" t="s">
        <v>822</v>
      </c>
      <c r="M60" s="64"/>
      <c r="N60" s="12"/>
      <c r="O60" s="12"/>
      <c r="P60" s="12"/>
      <c r="Q60" s="12"/>
      <c r="R60" s="12" t="s">
        <v>307</v>
      </c>
      <c r="S60" s="12"/>
      <c r="T60" s="12"/>
      <c r="U60" s="12"/>
      <c r="V60" s="12"/>
      <c r="W60" s="7"/>
      <c r="X60" s="12"/>
      <c r="Y60" s="7"/>
      <c r="Z60" s="7"/>
      <c r="AA60" s="7"/>
      <c r="AB60" s="7">
        <f>10^6</f>
        <v>1000000</v>
      </c>
      <c r="AC60" s="7"/>
      <c r="AD60" s="4"/>
      <c r="AE60" s="4"/>
      <c r="AF60" s="4"/>
      <c r="AG60" s="4"/>
      <c r="AH60" s="9"/>
      <c r="AI60" s="9"/>
      <c r="AJ60" s="9"/>
      <c r="AK60" s="9" t="s">
        <v>30</v>
      </c>
      <c r="AL60" s="10"/>
      <c r="AM60" s="10"/>
      <c r="AN60" s="10"/>
      <c r="AO60" s="10"/>
      <c r="AP60" s="10"/>
      <c r="AQ60" s="11" t="s">
        <v>231</v>
      </c>
      <c r="AR60" s="4" t="s">
        <v>32</v>
      </c>
      <c r="AS60" s="10"/>
      <c r="AT60" s="10"/>
      <c r="AU60" s="10"/>
      <c r="AV60" s="10"/>
      <c r="AW60" s="10"/>
      <c r="AX60" s="10"/>
      <c r="AY60" s="10"/>
      <c r="AZ60" s="10"/>
      <c r="BA60" s="10"/>
      <c r="BB60" s="10"/>
      <c r="BC60" s="10"/>
      <c r="BD60" s="10"/>
    </row>
    <row r="61" spans="1:56" ht="30" x14ac:dyDescent="0.25">
      <c r="A61" s="4" t="s">
        <v>308</v>
      </c>
      <c r="B61" s="4"/>
      <c r="C61" s="4" t="s">
        <v>22</v>
      </c>
      <c r="D61" s="4" t="s">
        <v>23</v>
      </c>
      <c r="E61" s="5" t="s">
        <v>34</v>
      </c>
      <c r="F61" s="4" t="s">
        <v>200</v>
      </c>
      <c r="G61" s="4" t="s">
        <v>26</v>
      </c>
      <c r="H61" s="4"/>
      <c r="I61" s="12">
        <v>34.2468</v>
      </c>
      <c r="J61" s="12"/>
      <c r="K61" s="12"/>
      <c r="L61" s="12"/>
      <c r="M61" s="64"/>
      <c r="N61" s="12"/>
      <c r="O61" s="12"/>
      <c r="P61" s="12"/>
      <c r="Q61" s="12"/>
      <c r="R61" s="12"/>
      <c r="S61" s="12"/>
      <c r="T61" s="12"/>
      <c r="U61" s="12"/>
      <c r="V61" s="12"/>
      <c r="W61" s="7"/>
      <c r="X61" s="12"/>
      <c r="Y61" s="7"/>
      <c r="Z61" s="7"/>
      <c r="AA61" s="7"/>
      <c r="AB61" s="7">
        <v>138408</v>
      </c>
      <c r="AC61" s="7"/>
      <c r="AD61" s="4"/>
      <c r="AE61" s="4"/>
      <c r="AF61" s="4"/>
      <c r="AG61" s="4"/>
      <c r="AH61" s="9"/>
      <c r="AI61" s="9"/>
      <c r="AJ61" s="9"/>
      <c r="AK61" s="9" t="s">
        <v>30</v>
      </c>
      <c r="AL61" s="10"/>
      <c r="AM61" s="10"/>
      <c r="AN61" s="10"/>
      <c r="AO61" s="10"/>
      <c r="AP61" s="10"/>
      <c r="AQ61" s="11">
        <v>10</v>
      </c>
      <c r="AR61" s="4" t="s">
        <v>32</v>
      </c>
      <c r="AS61" s="10" t="s">
        <v>866</v>
      </c>
      <c r="AT61" s="10"/>
      <c r="AU61" s="10"/>
      <c r="AV61" s="10"/>
      <c r="AW61" s="10"/>
      <c r="AX61" s="10"/>
      <c r="AY61" s="10"/>
      <c r="AZ61" s="10"/>
      <c r="BA61" s="10"/>
      <c r="BB61" s="10"/>
      <c r="BC61" s="10"/>
      <c r="BD61" s="10"/>
    </row>
    <row r="62" spans="1:56" ht="60" x14ac:dyDescent="0.25">
      <c r="A62" s="4" t="s">
        <v>309</v>
      </c>
      <c r="B62" s="4"/>
      <c r="C62" s="4" t="s">
        <v>22</v>
      </c>
      <c r="D62" s="4" t="s">
        <v>33</v>
      </c>
      <c r="E62" s="5" t="s">
        <v>34</v>
      </c>
      <c r="F62" s="6"/>
      <c r="G62" s="4" t="s">
        <v>26</v>
      </c>
      <c r="H62" s="4" t="s">
        <v>1076</v>
      </c>
      <c r="I62" s="12"/>
      <c r="J62" s="12"/>
      <c r="K62" s="12"/>
      <c r="L62" s="12"/>
      <c r="M62" s="64"/>
      <c r="N62" s="12"/>
      <c r="O62" s="12"/>
      <c r="P62" s="12"/>
      <c r="Q62" s="12"/>
      <c r="R62" s="12"/>
      <c r="S62" s="12"/>
      <c r="T62" s="12"/>
      <c r="U62" s="12"/>
      <c r="V62" s="12"/>
      <c r="W62" s="7"/>
      <c r="X62" s="12"/>
      <c r="Y62" s="7"/>
      <c r="Z62" s="7">
        <v>4</v>
      </c>
      <c r="AA62" s="7">
        <v>0</v>
      </c>
      <c r="AB62" s="7"/>
      <c r="AC62" s="7"/>
      <c r="AD62" s="4"/>
      <c r="AE62" s="4"/>
      <c r="AF62" s="4"/>
      <c r="AG62" s="4"/>
      <c r="AH62" s="9" t="s">
        <v>310</v>
      </c>
      <c r="AI62" s="9" t="s">
        <v>311</v>
      </c>
      <c r="AJ62" s="9"/>
      <c r="AK62" s="9" t="s">
        <v>30</v>
      </c>
      <c r="AL62" s="10"/>
      <c r="AM62" s="10"/>
      <c r="AN62" s="10"/>
      <c r="AO62" s="10"/>
      <c r="AP62" s="10"/>
      <c r="AQ62" s="11" t="s">
        <v>312</v>
      </c>
      <c r="AR62" s="4"/>
      <c r="AS62" s="10" t="s">
        <v>855</v>
      </c>
      <c r="AT62" s="10" t="s">
        <v>1081</v>
      </c>
      <c r="AU62" s="10"/>
      <c r="AV62" s="10"/>
      <c r="AW62" s="10"/>
      <c r="AX62" s="10"/>
      <c r="AY62" s="10"/>
      <c r="AZ62" s="10"/>
      <c r="BA62" s="10"/>
      <c r="BB62" s="10"/>
      <c r="BC62" s="10"/>
      <c r="BD62" s="10"/>
    </row>
    <row r="63" spans="1:56" ht="90" x14ac:dyDescent="0.25">
      <c r="A63" s="4" t="s">
        <v>978</v>
      </c>
      <c r="B63" s="4"/>
      <c r="C63" s="4" t="s">
        <v>66</v>
      </c>
      <c r="D63" s="4" t="s">
        <v>131</v>
      </c>
      <c r="E63" s="5" t="s">
        <v>24</v>
      </c>
      <c r="F63" s="6"/>
      <c r="G63" s="4" t="s">
        <v>26</v>
      </c>
      <c r="H63" s="62" t="s">
        <v>1004</v>
      </c>
      <c r="I63" s="12" t="s">
        <v>819</v>
      </c>
      <c r="J63" s="12">
        <v>2.7</v>
      </c>
      <c r="K63" s="12">
        <v>0.75</v>
      </c>
      <c r="L63" s="12" t="s">
        <v>823</v>
      </c>
      <c r="M63" s="64">
        <v>3.6000000000000003E-3</v>
      </c>
      <c r="N63" s="12">
        <v>0.75</v>
      </c>
      <c r="O63" s="12" t="s">
        <v>129</v>
      </c>
      <c r="P63" s="12">
        <v>0</v>
      </c>
      <c r="Q63" s="12">
        <v>0.75</v>
      </c>
      <c r="R63" s="12" t="s">
        <v>313</v>
      </c>
      <c r="S63" s="12">
        <v>0</v>
      </c>
      <c r="T63" s="12">
        <v>0.75</v>
      </c>
      <c r="U63" s="12"/>
      <c r="V63" s="12"/>
      <c r="W63" s="7">
        <v>60</v>
      </c>
      <c r="X63" s="12">
        <v>0</v>
      </c>
      <c r="Y63" s="7" t="s">
        <v>314</v>
      </c>
      <c r="Z63" s="7">
        <v>8</v>
      </c>
      <c r="AA63" s="7">
        <v>0.75</v>
      </c>
      <c r="AB63" s="7">
        <v>100000</v>
      </c>
      <c r="AC63" s="7">
        <v>0.75</v>
      </c>
      <c r="AD63" s="4"/>
      <c r="AE63" s="4">
        <v>0</v>
      </c>
      <c r="AF63" s="4"/>
      <c r="AG63" s="4">
        <v>0.5</v>
      </c>
      <c r="AH63" s="9" t="s">
        <v>315</v>
      </c>
      <c r="AI63" s="9" t="s">
        <v>316</v>
      </c>
      <c r="AJ63" s="9"/>
      <c r="AK63" s="9" t="s">
        <v>30</v>
      </c>
      <c r="AL63" s="10" t="s">
        <v>317</v>
      </c>
      <c r="AM63" s="10" t="s">
        <v>318</v>
      </c>
      <c r="AN63" s="10" t="s">
        <v>319</v>
      </c>
      <c r="AO63" s="10" t="s">
        <v>320</v>
      </c>
      <c r="AP63" s="10" t="s">
        <v>321</v>
      </c>
      <c r="AQ63" s="11" t="s">
        <v>322</v>
      </c>
      <c r="AR63" s="4"/>
      <c r="AS63" s="10" t="s">
        <v>869</v>
      </c>
      <c r="AT63" s="10"/>
      <c r="AU63" s="10"/>
      <c r="AV63" s="10"/>
      <c r="AW63" s="10"/>
      <c r="AX63" s="10"/>
      <c r="AY63" s="10"/>
      <c r="AZ63" s="10"/>
      <c r="BA63" s="10"/>
      <c r="BB63" s="10"/>
      <c r="BC63" s="10">
        <f>273+400</f>
        <v>673</v>
      </c>
      <c r="BD63" s="10">
        <v>101</v>
      </c>
    </row>
    <row r="64" spans="1:56" ht="30" x14ac:dyDescent="0.25">
      <c r="A64" s="4" t="s">
        <v>323</v>
      </c>
      <c r="B64" s="4"/>
      <c r="C64" s="4" t="s">
        <v>66</v>
      </c>
      <c r="D64" s="4" t="s">
        <v>23</v>
      </c>
      <c r="E64" s="5" t="s">
        <v>34</v>
      </c>
      <c r="F64" s="6"/>
      <c r="G64" s="4" t="s">
        <v>26</v>
      </c>
      <c r="H64" s="4" t="s">
        <v>302</v>
      </c>
      <c r="I64" s="12" t="s">
        <v>1006</v>
      </c>
      <c r="J64" s="12" t="s">
        <v>1006</v>
      </c>
      <c r="K64" s="12"/>
      <c r="L64" s="12" t="s">
        <v>1007</v>
      </c>
      <c r="M64" s="12" t="s">
        <v>1007</v>
      </c>
      <c r="N64" s="12"/>
      <c r="O64" s="12"/>
      <c r="P64" s="12"/>
      <c r="Q64" s="12"/>
      <c r="R64" s="12" t="s">
        <v>303</v>
      </c>
      <c r="S64" s="12"/>
      <c r="T64" s="12"/>
      <c r="U64" s="12"/>
      <c r="V64" s="12"/>
      <c r="W64" s="7"/>
      <c r="X64" s="12"/>
      <c r="Y64" s="7"/>
      <c r="Z64" s="7"/>
      <c r="AA64" s="7"/>
      <c r="AB64" s="7">
        <f>5*10^5</f>
        <v>500000</v>
      </c>
      <c r="AC64" s="7"/>
      <c r="AD64" s="4"/>
      <c r="AE64" s="4"/>
      <c r="AF64" s="4"/>
      <c r="AG64" s="4"/>
      <c r="AH64" s="9"/>
      <c r="AI64" s="9"/>
      <c r="AJ64" s="9"/>
      <c r="AK64" s="9" t="s">
        <v>30</v>
      </c>
      <c r="AL64" s="10"/>
      <c r="AM64" s="10"/>
      <c r="AN64" s="10"/>
      <c r="AO64" s="10"/>
      <c r="AP64" s="10"/>
      <c r="AQ64" s="11" t="s">
        <v>231</v>
      </c>
      <c r="AR64" s="4" t="s">
        <v>32</v>
      </c>
      <c r="AS64" s="10"/>
      <c r="AT64" s="10"/>
      <c r="AU64" s="10"/>
      <c r="AV64" s="10"/>
      <c r="AW64" s="10"/>
      <c r="AX64" s="10"/>
      <c r="AY64" s="10"/>
      <c r="AZ64" s="10"/>
      <c r="BA64" s="10"/>
      <c r="BB64" s="10"/>
      <c r="BC64" s="10"/>
      <c r="BD64" s="10"/>
    </row>
    <row r="65" spans="1:56" ht="30" x14ac:dyDescent="0.25">
      <c r="A65" s="4" t="s">
        <v>324</v>
      </c>
      <c r="B65" s="4"/>
      <c r="C65" s="4" t="s">
        <v>66</v>
      </c>
      <c r="D65" s="4" t="s">
        <v>23</v>
      </c>
      <c r="E65" s="5" t="s">
        <v>34</v>
      </c>
      <c r="F65" s="6"/>
      <c r="G65" s="4" t="s">
        <v>26</v>
      </c>
      <c r="H65" s="4" t="s">
        <v>325</v>
      </c>
      <c r="I65" s="12">
        <v>0.96</v>
      </c>
      <c r="J65" s="12">
        <v>0.96</v>
      </c>
      <c r="K65" s="12"/>
      <c r="L65" s="12">
        <v>2.5000000000000001E-3</v>
      </c>
      <c r="M65" s="12">
        <v>2.5000000000000001E-3</v>
      </c>
      <c r="N65" s="12"/>
      <c r="O65" s="12"/>
      <c r="P65" s="12"/>
      <c r="Q65" s="12"/>
      <c r="R65" s="12" t="s">
        <v>307</v>
      </c>
      <c r="S65" s="12"/>
      <c r="T65" s="12"/>
      <c r="U65" s="12"/>
      <c r="V65" s="12"/>
      <c r="W65" s="7"/>
      <c r="X65" s="12"/>
      <c r="Y65" s="7"/>
      <c r="Z65" s="7"/>
      <c r="AA65" s="7"/>
      <c r="AB65" s="7"/>
      <c r="AC65" s="7"/>
      <c r="AD65" s="4"/>
      <c r="AE65" s="4"/>
      <c r="AF65" s="4"/>
      <c r="AG65" s="4"/>
      <c r="AH65" s="9"/>
      <c r="AI65" s="9"/>
      <c r="AJ65" s="9"/>
      <c r="AK65" s="9" t="s">
        <v>30</v>
      </c>
      <c r="AL65" s="10"/>
      <c r="AM65" s="10"/>
      <c r="AN65" s="10"/>
      <c r="AO65" s="10"/>
      <c r="AP65" s="10"/>
      <c r="AQ65" s="11" t="s">
        <v>231</v>
      </c>
      <c r="AR65" s="4" t="s">
        <v>32</v>
      </c>
      <c r="AS65" s="10"/>
      <c r="AT65" s="10"/>
      <c r="AU65" s="10"/>
      <c r="AV65" s="10"/>
      <c r="AW65" s="10"/>
      <c r="AX65" s="10"/>
      <c r="AY65" s="10"/>
      <c r="AZ65" s="10"/>
      <c r="BA65" s="10"/>
      <c r="BB65" s="10"/>
      <c r="BC65" s="10"/>
      <c r="BD65" s="10"/>
    </row>
    <row r="66" spans="1:56" ht="30" x14ac:dyDescent="0.25">
      <c r="A66" s="4" t="s">
        <v>326</v>
      </c>
      <c r="B66" s="4"/>
      <c r="C66" s="4" t="s">
        <v>22</v>
      </c>
      <c r="D66" s="4" t="s">
        <v>23</v>
      </c>
      <c r="E66" s="5" t="s">
        <v>34</v>
      </c>
      <c r="F66" s="4" t="s">
        <v>200</v>
      </c>
      <c r="G66" s="4" t="s">
        <v>26</v>
      </c>
      <c r="H66" s="4" t="s">
        <v>1005</v>
      </c>
      <c r="I66" s="12">
        <v>48.1723</v>
      </c>
      <c r="J66" s="12">
        <v>48.1723</v>
      </c>
      <c r="K66" s="12"/>
      <c r="L66" s="12">
        <v>3.1151999999999999E-2</v>
      </c>
      <c r="M66" s="64"/>
      <c r="N66" s="12"/>
      <c r="O66" s="12"/>
      <c r="P66" s="12"/>
      <c r="Q66" s="12"/>
      <c r="R66" s="12"/>
      <c r="S66" s="12"/>
      <c r="T66" s="12"/>
      <c r="U66" s="12"/>
      <c r="V66" s="12"/>
      <c r="W66" s="7"/>
      <c r="X66" s="12"/>
      <c r="Y66" s="7"/>
      <c r="Z66" s="7"/>
      <c r="AA66" s="7"/>
      <c r="AB66" s="7">
        <v>98112</v>
      </c>
      <c r="AC66" s="7"/>
      <c r="AD66" s="4"/>
      <c r="AE66" s="4"/>
      <c r="AF66" s="4"/>
      <c r="AG66" s="4"/>
      <c r="AH66" s="9"/>
      <c r="AI66" s="9"/>
      <c r="AJ66" s="9"/>
      <c r="AK66" s="9" t="s">
        <v>30</v>
      </c>
      <c r="AL66" s="10"/>
      <c r="AM66" s="10"/>
      <c r="AN66" s="10"/>
      <c r="AO66" s="10"/>
      <c r="AP66" s="10"/>
      <c r="AQ66" s="11">
        <v>10</v>
      </c>
      <c r="AR66" s="4" t="s">
        <v>32</v>
      </c>
      <c r="AS66" s="10" t="s">
        <v>868</v>
      </c>
      <c r="AT66" s="10"/>
      <c r="AU66" s="10"/>
      <c r="AV66" s="10"/>
      <c r="AW66" s="10"/>
      <c r="AX66" s="10"/>
      <c r="AY66" s="10"/>
      <c r="AZ66" s="10"/>
      <c r="BA66" s="10"/>
      <c r="BB66" s="10"/>
      <c r="BC66" s="10"/>
      <c r="BD66" s="10"/>
    </row>
    <row r="67" spans="1:56" ht="30" x14ac:dyDescent="0.25">
      <c r="A67" s="4" t="s">
        <v>327</v>
      </c>
      <c r="B67" s="4"/>
      <c r="C67" s="4" t="s">
        <v>66</v>
      </c>
      <c r="D67" s="4" t="s">
        <v>23</v>
      </c>
      <c r="E67" s="5" t="s">
        <v>34</v>
      </c>
      <c r="F67" s="4"/>
      <c r="G67" s="4" t="s">
        <v>35</v>
      </c>
      <c r="H67" s="4"/>
      <c r="I67" s="12">
        <v>1.9503999999999999</v>
      </c>
      <c r="J67" s="12">
        <v>1.9503999999999999</v>
      </c>
      <c r="K67" s="12"/>
      <c r="L67" s="12">
        <v>8.4900000000000004E-4</v>
      </c>
      <c r="M67" s="12">
        <v>8.4900000000000004E-4</v>
      </c>
      <c r="N67" s="12"/>
      <c r="O67" s="12"/>
      <c r="P67" s="12"/>
      <c r="Q67" s="12"/>
      <c r="R67" s="12"/>
      <c r="S67" s="12"/>
      <c r="T67" s="12"/>
      <c r="U67" s="12">
        <v>1.2092479999999999</v>
      </c>
      <c r="V67" s="12">
        <v>1.2092479999999999</v>
      </c>
      <c r="W67" s="7"/>
      <c r="X67" s="12"/>
      <c r="Y67" s="7"/>
      <c r="Z67" s="7"/>
      <c r="AA67" s="7"/>
      <c r="AB67" s="7"/>
      <c r="AC67" s="7"/>
      <c r="AD67" s="4"/>
      <c r="AE67" s="4"/>
      <c r="AF67" s="4"/>
      <c r="AG67" s="4"/>
      <c r="AH67" s="9"/>
      <c r="AI67" s="9"/>
      <c r="AJ67" s="9"/>
      <c r="AK67" s="9" t="s">
        <v>30</v>
      </c>
      <c r="AL67" s="10"/>
      <c r="AM67" s="10"/>
      <c r="AN67" s="10"/>
      <c r="AO67" s="10"/>
      <c r="AP67" s="10"/>
      <c r="AQ67" s="11">
        <v>11</v>
      </c>
      <c r="AR67" s="4" t="s">
        <v>32</v>
      </c>
      <c r="AS67" s="10" t="s">
        <v>950</v>
      </c>
      <c r="AT67" s="10" t="s">
        <v>951</v>
      </c>
      <c r="AU67" s="10" t="s">
        <v>868</v>
      </c>
      <c r="AV67" s="10"/>
      <c r="AW67" s="10"/>
      <c r="AX67" s="10"/>
      <c r="AY67" s="10"/>
      <c r="AZ67" s="10"/>
      <c r="BA67" s="10"/>
      <c r="BB67" s="10"/>
      <c r="BC67" s="10"/>
      <c r="BD67" s="10"/>
    </row>
    <row r="68" spans="1:56" ht="90" x14ac:dyDescent="0.25">
      <c r="A68" s="4" t="s">
        <v>328</v>
      </c>
      <c r="B68" s="4"/>
      <c r="C68" s="4" t="s">
        <v>186</v>
      </c>
      <c r="D68" s="4" t="s">
        <v>131</v>
      </c>
      <c r="E68" s="5"/>
      <c r="F68" s="6"/>
      <c r="G68" s="4" t="s">
        <v>26</v>
      </c>
      <c r="H68" s="62" t="s">
        <v>329</v>
      </c>
      <c r="I68" s="12"/>
      <c r="J68" s="12"/>
      <c r="K68" s="12"/>
      <c r="L68" s="12"/>
      <c r="M68" s="64"/>
      <c r="N68" s="12"/>
      <c r="O68" s="12"/>
      <c r="P68" s="12"/>
      <c r="Q68" s="12"/>
      <c r="R68" s="12"/>
      <c r="S68" s="12"/>
      <c r="T68" s="12"/>
      <c r="U68" s="12"/>
      <c r="V68" s="12"/>
      <c r="W68" s="7"/>
      <c r="X68" s="12"/>
      <c r="Y68" s="7"/>
      <c r="Z68" s="7"/>
      <c r="AA68" s="7"/>
      <c r="AB68" s="7"/>
      <c r="AC68" s="7"/>
      <c r="AD68" s="4"/>
      <c r="AE68" s="4"/>
      <c r="AF68" s="4"/>
      <c r="AG68" s="4"/>
      <c r="AH68" s="9"/>
      <c r="AI68" s="9"/>
      <c r="AJ68" s="9"/>
      <c r="AK68" s="9" t="s">
        <v>30</v>
      </c>
      <c r="AL68" s="10"/>
      <c r="AM68" s="10"/>
      <c r="AN68" s="10"/>
      <c r="AO68" s="10"/>
      <c r="AP68" s="10"/>
      <c r="AQ68" s="11">
        <v>7</v>
      </c>
      <c r="AR68" s="4"/>
      <c r="AS68" s="10" t="s">
        <v>958</v>
      </c>
      <c r="AT68" s="10"/>
      <c r="AU68" s="10"/>
      <c r="AV68" s="10"/>
      <c r="AW68" s="10"/>
      <c r="AX68" s="10"/>
      <c r="AY68" s="10"/>
      <c r="AZ68" s="10"/>
      <c r="BA68" s="10"/>
      <c r="BB68" s="10"/>
      <c r="BC68" s="10"/>
      <c r="BD68" s="10"/>
    </row>
    <row r="69" spans="1:56" ht="45" x14ac:dyDescent="0.25">
      <c r="A69" s="4" t="s">
        <v>330</v>
      </c>
      <c r="B69" s="4"/>
      <c r="C69" s="4" t="s">
        <v>66</v>
      </c>
      <c r="D69" s="4" t="s">
        <v>23</v>
      </c>
      <c r="E69" s="5" t="s">
        <v>34</v>
      </c>
      <c r="F69" s="4" t="s">
        <v>331</v>
      </c>
      <c r="G69" s="4" t="s">
        <v>26</v>
      </c>
      <c r="H69" s="4"/>
      <c r="I69" s="12">
        <v>0.15140000000000001</v>
      </c>
      <c r="J69" s="12">
        <v>0.15140000000000001</v>
      </c>
      <c r="K69" s="12"/>
      <c r="L69" s="12">
        <f>0.0177*0.019*0.0508</f>
        <v>1.7084039999999997E-5</v>
      </c>
      <c r="M69" s="12">
        <f>0.0177*0.019*0.0508</f>
        <v>1.7084039999999997E-5</v>
      </c>
      <c r="N69" s="12"/>
      <c r="O69" s="12"/>
      <c r="P69" s="12"/>
      <c r="Q69" s="12"/>
      <c r="R69" s="12"/>
      <c r="S69" s="12"/>
      <c r="T69" s="12"/>
      <c r="U69" s="12"/>
      <c r="V69" s="12"/>
      <c r="W69" s="7"/>
      <c r="X69" s="12"/>
      <c r="Y69" s="7"/>
      <c r="Z69" s="7"/>
      <c r="AA69" s="7"/>
      <c r="AB69" s="7"/>
      <c r="AC69" s="7"/>
      <c r="AD69" s="4"/>
      <c r="AE69" s="4"/>
      <c r="AF69" s="4"/>
      <c r="AG69" s="4"/>
      <c r="AH69" s="9"/>
      <c r="AI69" s="9"/>
      <c r="AJ69" s="9"/>
      <c r="AK69" s="9" t="s">
        <v>30</v>
      </c>
      <c r="AL69" s="10"/>
      <c r="AM69" s="10"/>
      <c r="AN69" s="10"/>
      <c r="AO69" s="10"/>
      <c r="AP69" s="10"/>
      <c r="AQ69" s="11">
        <v>11</v>
      </c>
      <c r="AR69" s="4" t="s">
        <v>332</v>
      </c>
      <c r="AS69" s="10"/>
      <c r="AT69" s="10"/>
      <c r="AU69" s="10"/>
      <c r="AV69" s="10"/>
      <c r="AW69" s="10"/>
      <c r="AX69" s="10"/>
      <c r="AY69" s="10"/>
      <c r="AZ69" s="10"/>
      <c r="BA69" s="10"/>
      <c r="BB69" s="10"/>
      <c r="BC69" s="10"/>
      <c r="BD69" s="10"/>
    </row>
    <row r="70" spans="1:56" ht="30" x14ac:dyDescent="0.25">
      <c r="A70" s="4" t="s">
        <v>333</v>
      </c>
      <c r="B70" s="4"/>
      <c r="C70" s="4" t="s">
        <v>66</v>
      </c>
      <c r="D70" s="4" t="s">
        <v>23</v>
      </c>
      <c r="E70" s="5" t="s">
        <v>34</v>
      </c>
      <c r="F70" s="4" t="s">
        <v>221</v>
      </c>
      <c r="G70" s="4" t="s">
        <v>26</v>
      </c>
      <c r="H70" s="4" t="s">
        <v>334</v>
      </c>
      <c r="I70" s="12">
        <v>1.36</v>
      </c>
      <c r="J70" s="12">
        <v>1.36</v>
      </c>
      <c r="K70" s="12"/>
      <c r="L70" s="12">
        <v>3.5000000000000003E-2</v>
      </c>
      <c r="M70" s="12">
        <v>3.5000000000000003E-2</v>
      </c>
      <c r="N70" s="12"/>
      <c r="O70" s="12">
        <v>0</v>
      </c>
      <c r="P70" s="12"/>
      <c r="Q70" s="12"/>
      <c r="R70" s="12">
        <v>0</v>
      </c>
      <c r="S70" s="12"/>
      <c r="T70" s="12"/>
      <c r="U70" s="12"/>
      <c r="V70" s="12"/>
      <c r="W70" s="7"/>
      <c r="X70" s="12"/>
      <c r="Y70" s="7"/>
      <c r="Z70" s="7"/>
      <c r="AA70" s="7"/>
      <c r="AB70" s="7"/>
      <c r="AC70" s="7"/>
      <c r="AD70" s="4"/>
      <c r="AE70" s="4"/>
      <c r="AF70" s="4"/>
      <c r="AG70" s="4"/>
      <c r="AH70" s="9"/>
      <c r="AI70" s="9"/>
      <c r="AJ70" s="9"/>
      <c r="AK70" s="9" t="s">
        <v>30</v>
      </c>
      <c r="AL70" s="10"/>
      <c r="AM70" s="10"/>
      <c r="AN70" s="10"/>
      <c r="AO70" s="10"/>
      <c r="AP70" s="10"/>
      <c r="AQ70" s="11" t="s">
        <v>231</v>
      </c>
      <c r="AR70" s="4" t="s">
        <v>335</v>
      </c>
      <c r="AS70" s="10" t="s">
        <v>954</v>
      </c>
      <c r="AT70" s="10"/>
      <c r="AU70" s="10"/>
      <c r="AV70" s="10"/>
      <c r="AW70" s="10"/>
      <c r="AX70" s="10"/>
      <c r="AY70" s="10"/>
      <c r="AZ70" s="10"/>
      <c r="BA70" s="10"/>
      <c r="BB70" s="10"/>
      <c r="BC70" s="10"/>
      <c r="BD70" s="10"/>
    </row>
    <row r="71" spans="1:56" ht="30" x14ac:dyDescent="0.25">
      <c r="A71" s="4" t="s">
        <v>336</v>
      </c>
      <c r="B71" s="4"/>
      <c r="C71" s="4" t="s">
        <v>22</v>
      </c>
      <c r="D71" s="4" t="s">
        <v>23</v>
      </c>
      <c r="E71" s="5" t="s">
        <v>34</v>
      </c>
      <c r="F71" s="6" t="s">
        <v>200</v>
      </c>
      <c r="G71" s="4" t="s">
        <v>26</v>
      </c>
      <c r="H71" s="4" t="s">
        <v>1009</v>
      </c>
      <c r="I71" s="12">
        <v>42.638399999999997</v>
      </c>
      <c r="J71" s="12"/>
      <c r="K71" s="12"/>
      <c r="L71" s="12">
        <v>6.4852000000000007E-2</v>
      </c>
      <c r="M71" s="64"/>
      <c r="N71" s="12"/>
      <c r="O71" s="12"/>
      <c r="P71" s="12"/>
      <c r="Q71" s="12"/>
      <c r="R71" s="12"/>
      <c r="S71" s="12"/>
      <c r="T71" s="12"/>
      <c r="U71" s="12"/>
      <c r="V71" s="12"/>
      <c r="W71" s="7"/>
      <c r="X71" s="12"/>
      <c r="Y71" s="7"/>
      <c r="Z71" s="7"/>
      <c r="AA71" s="7"/>
      <c r="AB71" s="7">
        <v>47479</v>
      </c>
      <c r="AC71" s="7"/>
      <c r="AD71" s="4"/>
      <c r="AE71" s="4"/>
      <c r="AF71" s="4"/>
      <c r="AG71" s="4"/>
      <c r="AH71" s="9"/>
      <c r="AI71" s="9"/>
      <c r="AJ71" s="9"/>
      <c r="AK71" s="9" t="s">
        <v>30</v>
      </c>
      <c r="AL71" s="10"/>
      <c r="AM71" s="10"/>
      <c r="AN71" s="10"/>
      <c r="AO71" s="10"/>
      <c r="AP71" s="10"/>
      <c r="AQ71" s="11">
        <v>10</v>
      </c>
      <c r="AR71" s="4" t="s">
        <v>32</v>
      </c>
      <c r="AS71" s="10"/>
      <c r="AT71" s="10"/>
      <c r="AU71" s="10"/>
      <c r="AV71" s="10"/>
      <c r="AW71" s="10"/>
      <c r="AX71" s="10"/>
      <c r="AY71" s="10"/>
      <c r="AZ71" s="10"/>
      <c r="BA71" s="10"/>
      <c r="BB71" s="10"/>
      <c r="BC71" s="10"/>
      <c r="BD71" s="10"/>
    </row>
    <row r="72" spans="1:56" ht="60" x14ac:dyDescent="0.25">
      <c r="A72" s="4" t="s">
        <v>337</v>
      </c>
      <c r="B72" s="4" t="s">
        <v>221</v>
      </c>
      <c r="C72" s="4" t="s">
        <v>66</v>
      </c>
      <c r="D72" s="4" t="s">
        <v>23</v>
      </c>
      <c r="E72" s="5" t="s">
        <v>34</v>
      </c>
      <c r="F72" s="4"/>
      <c r="G72" s="4" t="s">
        <v>35</v>
      </c>
      <c r="H72" s="62" t="s">
        <v>338</v>
      </c>
      <c r="I72" s="12">
        <f>27.1</f>
        <v>27.1</v>
      </c>
      <c r="J72" s="12">
        <v>27.1</v>
      </c>
      <c r="K72" s="12">
        <v>0.75</v>
      </c>
      <c r="L72" s="12">
        <f>0.035116+0.01412+0.0032</f>
        <v>5.2436000000000003E-2</v>
      </c>
      <c r="M72" s="64">
        <f>technologies[[#This Row],[Volume
Literature]]</f>
        <v>5.2436000000000003E-2</v>
      </c>
      <c r="N72" s="12">
        <v>0.75</v>
      </c>
      <c r="O72" s="12"/>
      <c r="P72" s="12">
        <v>0</v>
      </c>
      <c r="Q72" s="12">
        <v>0.5</v>
      </c>
      <c r="R72" s="12">
        <f>88+25</f>
        <v>113</v>
      </c>
      <c r="S72" s="12">
        <v>113</v>
      </c>
      <c r="T72" s="12">
        <v>0.75</v>
      </c>
      <c r="U72" s="12">
        <v>16.802</v>
      </c>
      <c r="V72" s="12">
        <v>16.802</v>
      </c>
      <c r="W72" s="7"/>
      <c r="X72" s="12"/>
      <c r="Y72" s="7"/>
      <c r="Z72" s="7">
        <v>9</v>
      </c>
      <c r="AA72" s="7">
        <v>1</v>
      </c>
      <c r="AB72" s="7"/>
      <c r="AC72" s="7"/>
      <c r="AD72" s="4"/>
      <c r="AE72" s="4"/>
      <c r="AF72" s="4"/>
      <c r="AG72" s="4"/>
      <c r="AH72" s="9"/>
      <c r="AI72" s="9"/>
      <c r="AJ72" s="9"/>
      <c r="AK72" s="9" t="s">
        <v>30</v>
      </c>
      <c r="AL72" s="10"/>
      <c r="AM72" s="10"/>
      <c r="AN72" s="10"/>
      <c r="AO72" s="10"/>
      <c r="AP72" s="10"/>
      <c r="AQ72" s="11"/>
      <c r="AR72" s="4"/>
      <c r="AS72" s="10" t="s">
        <v>953</v>
      </c>
      <c r="AT72" s="10" t="s">
        <v>954</v>
      </c>
      <c r="AU72" s="10" t="s">
        <v>952</v>
      </c>
      <c r="AV72" s="10" t="s">
        <v>955</v>
      </c>
      <c r="AW72" s="10" t="s">
        <v>950</v>
      </c>
      <c r="AX72" s="10" t="s">
        <v>951</v>
      </c>
      <c r="AY72" s="10" t="s">
        <v>898</v>
      </c>
      <c r="AZ72" s="10"/>
      <c r="BA72" s="10"/>
      <c r="BB72" s="10"/>
      <c r="BC72" s="10"/>
      <c r="BD72" s="10"/>
    </row>
    <row r="73" spans="1:56" ht="60" x14ac:dyDescent="0.25">
      <c r="A73" s="4" t="s">
        <v>339</v>
      </c>
      <c r="B73" s="4"/>
      <c r="C73" s="4" t="s">
        <v>66</v>
      </c>
      <c r="D73" s="4" t="s">
        <v>23</v>
      </c>
      <c r="E73" s="5" t="s">
        <v>34</v>
      </c>
      <c r="F73" s="4" t="s">
        <v>221</v>
      </c>
      <c r="G73" s="4" t="s">
        <v>26</v>
      </c>
      <c r="H73" s="62" t="s">
        <v>1124</v>
      </c>
      <c r="I73" s="12" t="s">
        <v>1159</v>
      </c>
      <c r="J73" s="12"/>
      <c r="K73" s="12"/>
      <c r="L73" s="12">
        <v>3.5000000000000003E-2</v>
      </c>
      <c r="M73" s="64"/>
      <c r="N73" s="12"/>
      <c r="O73" s="12"/>
      <c r="P73" s="12"/>
      <c r="Q73" s="12"/>
      <c r="R73" s="12" t="s">
        <v>340</v>
      </c>
      <c r="S73" s="12"/>
      <c r="T73" s="12"/>
      <c r="U73" s="12"/>
      <c r="V73" s="12"/>
      <c r="W73" s="7"/>
      <c r="X73" s="12"/>
      <c r="Y73" s="7"/>
      <c r="Z73" s="7"/>
      <c r="AA73" s="7"/>
      <c r="AB73" s="7"/>
      <c r="AC73" s="7"/>
      <c r="AD73" s="4"/>
      <c r="AE73" s="4"/>
      <c r="AF73" s="4"/>
      <c r="AG73" s="4"/>
      <c r="AH73" s="9"/>
      <c r="AI73" s="9"/>
      <c r="AJ73" s="9"/>
      <c r="AK73" s="9" t="s">
        <v>30</v>
      </c>
      <c r="AL73" s="10"/>
      <c r="AM73" s="10"/>
      <c r="AN73" s="10"/>
      <c r="AO73" s="10"/>
      <c r="AP73" s="10"/>
      <c r="AQ73" s="11" t="s">
        <v>343</v>
      </c>
      <c r="AR73" s="4" t="s">
        <v>32</v>
      </c>
      <c r="AS73" s="10" t="s">
        <v>953</v>
      </c>
      <c r="AT73" s="10" t="s">
        <v>954</v>
      </c>
      <c r="AU73" s="10" t="s">
        <v>952</v>
      </c>
      <c r="AV73" s="10" t="s">
        <v>955</v>
      </c>
      <c r="AW73" s="10" t="s">
        <v>950</v>
      </c>
      <c r="AX73" s="10" t="s">
        <v>951</v>
      </c>
      <c r="AY73" s="10" t="s">
        <v>898</v>
      </c>
      <c r="AZ73" s="10"/>
      <c r="BA73" s="10"/>
      <c r="BB73" s="10"/>
      <c r="BC73" s="10" t="s">
        <v>341</v>
      </c>
      <c r="BD73" s="10" t="s">
        <v>342</v>
      </c>
    </row>
    <row r="74" spans="1:56" ht="30" x14ac:dyDescent="0.25">
      <c r="A74" s="4" t="s">
        <v>344</v>
      </c>
      <c r="B74" s="4"/>
      <c r="C74" s="4" t="s">
        <v>22</v>
      </c>
      <c r="D74" s="4" t="s">
        <v>23</v>
      </c>
      <c r="E74" s="5" t="s">
        <v>34</v>
      </c>
      <c r="F74" s="6" t="s">
        <v>200</v>
      </c>
      <c r="G74" s="4" t="s">
        <v>26</v>
      </c>
      <c r="H74" s="4" t="s">
        <v>1008</v>
      </c>
      <c r="I74" s="12">
        <v>47.083599999999997</v>
      </c>
      <c r="J74" s="12">
        <v>47.083599999999997</v>
      </c>
      <c r="K74" s="12"/>
      <c r="L74" s="12">
        <v>8.3826999999999999E-2</v>
      </c>
      <c r="M74" s="12">
        <v>8.3826999999999999E-2</v>
      </c>
      <c r="N74" s="12"/>
      <c r="O74" s="12"/>
      <c r="P74" s="12"/>
      <c r="Q74" s="12"/>
      <c r="R74" s="12"/>
      <c r="S74" s="12"/>
      <c r="T74" s="12"/>
      <c r="U74" s="12"/>
      <c r="V74" s="12"/>
      <c r="W74" s="7"/>
      <c r="X74" s="12"/>
      <c r="Y74" s="7"/>
      <c r="Z74" s="7"/>
      <c r="AA74" s="7"/>
      <c r="AB74" s="7">
        <v>103280</v>
      </c>
      <c r="AC74" s="7"/>
      <c r="AD74" s="4"/>
      <c r="AE74" s="4"/>
      <c r="AF74" s="4"/>
      <c r="AG74" s="4"/>
      <c r="AH74" s="9"/>
      <c r="AI74" s="9"/>
      <c r="AJ74" s="9"/>
      <c r="AK74" s="9" t="s">
        <v>30</v>
      </c>
      <c r="AL74" s="10"/>
      <c r="AM74" s="10"/>
      <c r="AN74" s="10"/>
      <c r="AO74" s="10"/>
      <c r="AP74" s="10"/>
      <c r="AQ74" s="11">
        <v>10</v>
      </c>
      <c r="AR74" s="4" t="s">
        <v>32</v>
      </c>
      <c r="AS74" s="10"/>
      <c r="AT74" s="10"/>
      <c r="AU74" s="10"/>
      <c r="AV74" s="10"/>
      <c r="AW74" s="10"/>
      <c r="AX74" s="10"/>
      <c r="AY74" s="10"/>
      <c r="AZ74" s="10"/>
      <c r="BA74" s="10"/>
      <c r="BB74" s="10"/>
      <c r="BC74" s="10"/>
      <c r="BD74" s="10"/>
    </row>
    <row r="75" spans="1:56" ht="30" x14ac:dyDescent="0.25">
      <c r="A75" s="4" t="s">
        <v>587</v>
      </c>
      <c r="B75" s="4"/>
      <c r="C75" s="4" t="s">
        <v>22</v>
      </c>
      <c r="D75" s="4" t="s">
        <v>23</v>
      </c>
      <c r="E75" s="5" t="s">
        <v>34</v>
      </c>
      <c r="F75" s="6" t="s">
        <v>200</v>
      </c>
      <c r="G75" s="4" t="s">
        <v>26</v>
      </c>
      <c r="H75" s="4"/>
      <c r="I75" s="12">
        <v>17.962499999999999</v>
      </c>
      <c r="J75" s="12">
        <v>17.962499999999999</v>
      </c>
      <c r="K75" s="12"/>
      <c r="L75" s="12">
        <v>1.0152E-2</v>
      </c>
      <c r="M75" s="12">
        <v>1.0152E-2</v>
      </c>
      <c r="N75" s="12"/>
      <c r="O75" s="12"/>
      <c r="P75" s="12"/>
      <c r="Q75" s="12"/>
      <c r="R75" s="12"/>
      <c r="S75" s="12"/>
      <c r="T75" s="12"/>
      <c r="U75" s="12"/>
      <c r="V75" s="12"/>
      <c r="W75" s="7"/>
      <c r="X75" s="12"/>
      <c r="Y75" s="7"/>
      <c r="Z75" s="7"/>
      <c r="AA75" s="7"/>
      <c r="AB75" s="7">
        <v>144540</v>
      </c>
      <c r="AC75" s="7"/>
      <c r="AD75" s="4"/>
      <c r="AE75" s="4"/>
      <c r="AF75" s="4"/>
      <c r="AG75" s="4"/>
      <c r="AH75" s="9"/>
      <c r="AI75" s="9" t="s">
        <v>345</v>
      </c>
      <c r="AJ75" s="9"/>
      <c r="AK75" s="9" t="s">
        <v>30</v>
      </c>
      <c r="AL75" s="10"/>
      <c r="AM75" s="10"/>
      <c r="AN75" s="10"/>
      <c r="AO75" s="10"/>
      <c r="AP75" s="10"/>
      <c r="AQ75" s="11">
        <v>10</v>
      </c>
      <c r="AR75" s="4" t="s">
        <v>32</v>
      </c>
      <c r="AS75" s="10"/>
      <c r="AT75" s="10"/>
      <c r="AU75" s="10"/>
      <c r="AV75" s="10"/>
      <c r="AW75" s="10"/>
      <c r="AX75" s="10"/>
      <c r="AY75" s="10"/>
      <c r="AZ75" s="10"/>
      <c r="BA75" s="10"/>
      <c r="BB75" s="10"/>
      <c r="BC75" s="10"/>
      <c r="BD75" s="10"/>
    </row>
    <row r="76" spans="1:56" ht="150" x14ac:dyDescent="0.25">
      <c r="A76" s="4" t="s">
        <v>977</v>
      </c>
      <c r="B76" s="4" t="s">
        <v>1478</v>
      </c>
      <c r="C76" s="4" t="s">
        <v>22</v>
      </c>
      <c r="D76" s="4" t="s">
        <v>23</v>
      </c>
      <c r="E76" s="5" t="s">
        <v>34</v>
      </c>
      <c r="F76" s="4"/>
      <c r="G76" s="4" t="s">
        <v>35</v>
      </c>
      <c r="H76" s="62" t="s">
        <v>1010</v>
      </c>
      <c r="I76" s="12"/>
      <c r="J76" s="12"/>
      <c r="K76" s="12"/>
      <c r="L76" s="12"/>
      <c r="M76" s="64"/>
      <c r="N76" s="12"/>
      <c r="O76" s="12"/>
      <c r="P76" s="12"/>
      <c r="Q76" s="12"/>
      <c r="R76" s="12"/>
      <c r="S76" s="12"/>
      <c r="T76" s="12"/>
      <c r="U76" s="12"/>
      <c r="V76" s="12"/>
      <c r="W76" s="7"/>
      <c r="X76" s="12"/>
      <c r="Y76" s="7"/>
      <c r="Z76" s="7">
        <v>4</v>
      </c>
      <c r="AA76" s="7">
        <v>0.75</v>
      </c>
      <c r="AB76" s="7"/>
      <c r="AC76" s="7"/>
      <c r="AD76" s="4"/>
      <c r="AE76" s="4"/>
      <c r="AF76" s="4"/>
      <c r="AG76" s="4"/>
      <c r="AH76" s="9" t="s">
        <v>346</v>
      </c>
      <c r="AI76" s="9" t="s">
        <v>347</v>
      </c>
      <c r="AJ76" s="9"/>
      <c r="AK76" s="9" t="s">
        <v>30</v>
      </c>
      <c r="AL76" s="10"/>
      <c r="AM76" s="10"/>
      <c r="AN76" s="10"/>
      <c r="AO76" s="10"/>
      <c r="AP76" s="10"/>
      <c r="AQ76" s="11">
        <v>1</v>
      </c>
      <c r="AR76" s="4"/>
      <c r="AS76" s="10" t="s">
        <v>855</v>
      </c>
      <c r="AT76" s="10"/>
      <c r="AU76" s="10"/>
      <c r="AV76" s="10"/>
      <c r="AW76" s="10"/>
      <c r="AX76" s="10"/>
      <c r="AY76" s="10"/>
      <c r="AZ76" s="10"/>
      <c r="BA76" s="10"/>
      <c r="BB76" s="10"/>
      <c r="BC76" s="10">
        <v>394</v>
      </c>
      <c r="BD76" s="10"/>
    </row>
    <row r="77" spans="1:56" ht="345" x14ac:dyDescent="0.25">
      <c r="A77" s="4" t="s">
        <v>348</v>
      </c>
      <c r="B77" s="4" t="s">
        <v>1479</v>
      </c>
      <c r="C77" s="4" t="s">
        <v>46</v>
      </c>
      <c r="D77" s="4" t="s">
        <v>165</v>
      </c>
      <c r="E77" s="5" t="s">
        <v>34</v>
      </c>
      <c r="F77" s="4"/>
      <c r="G77" s="4" t="s">
        <v>35</v>
      </c>
      <c r="H77" s="62" t="s">
        <v>1186</v>
      </c>
      <c r="I77" s="12" t="s">
        <v>737</v>
      </c>
      <c r="J77" s="12"/>
      <c r="K77" s="12">
        <v>0.5</v>
      </c>
      <c r="L77" s="12" t="s">
        <v>738</v>
      </c>
      <c r="M77" s="64"/>
      <c r="N77" s="12">
        <v>0.5</v>
      </c>
      <c r="O77" s="12" t="s">
        <v>349</v>
      </c>
      <c r="P77" s="12"/>
      <c r="Q77" s="12">
        <v>0.5</v>
      </c>
      <c r="R77" s="12" t="s">
        <v>350</v>
      </c>
      <c r="S77" s="12"/>
      <c r="T77" s="12">
        <v>0.5</v>
      </c>
      <c r="U77" s="12"/>
      <c r="V77" s="12"/>
      <c r="W77" s="7">
        <v>80</v>
      </c>
      <c r="X77" s="12"/>
      <c r="Y77" s="7" t="s">
        <v>353</v>
      </c>
      <c r="Z77" s="7">
        <v>6</v>
      </c>
      <c r="AA77" s="7">
        <v>0.75</v>
      </c>
      <c r="AB77" s="7">
        <v>24000</v>
      </c>
      <c r="AC77" s="7">
        <v>0.5</v>
      </c>
      <c r="AD77" s="4" t="s">
        <v>1164</v>
      </c>
      <c r="AE77" s="13">
        <f>56/9*Crew_Size/500*Mission_Duration</f>
        <v>37.333333333333336</v>
      </c>
      <c r="AF77" s="13"/>
      <c r="AG77" s="4">
        <v>0.5</v>
      </c>
      <c r="AH77" s="9" t="s">
        <v>354</v>
      </c>
      <c r="AI77" s="9" t="s">
        <v>355</v>
      </c>
      <c r="AJ77" s="9" t="s">
        <v>356</v>
      </c>
      <c r="AK77" s="9" t="s">
        <v>357</v>
      </c>
      <c r="AL77" s="10"/>
      <c r="AM77" s="10"/>
      <c r="AN77" s="10"/>
      <c r="AO77" s="10"/>
      <c r="AP77" s="10"/>
      <c r="AQ77" s="11" t="s">
        <v>358</v>
      </c>
      <c r="AR77" s="4"/>
      <c r="AS77" s="10" t="s">
        <v>861</v>
      </c>
      <c r="AT77" s="10"/>
      <c r="AU77" s="10" t="s">
        <v>858</v>
      </c>
      <c r="AV77" s="10" t="s">
        <v>859</v>
      </c>
      <c r="AW77" s="10"/>
      <c r="AX77" s="10"/>
      <c r="AY77" s="10"/>
      <c r="AZ77" s="10"/>
      <c r="BA77" s="10"/>
      <c r="BB77" s="10"/>
      <c r="BC77" s="10" t="s">
        <v>351</v>
      </c>
      <c r="BD77" s="10" t="s">
        <v>352</v>
      </c>
    </row>
    <row r="78" spans="1:56" ht="255" x14ac:dyDescent="0.25">
      <c r="A78" s="4" t="s">
        <v>359</v>
      </c>
      <c r="B78" s="4" t="s">
        <v>1480</v>
      </c>
      <c r="C78" s="4" t="s">
        <v>22</v>
      </c>
      <c r="D78" s="4" t="s">
        <v>116</v>
      </c>
      <c r="E78" s="5" t="s">
        <v>34</v>
      </c>
      <c r="F78" s="4"/>
      <c r="G78" s="4" t="s">
        <v>35</v>
      </c>
      <c r="H78" s="62" t="s">
        <v>360</v>
      </c>
      <c r="I78" s="12" t="s">
        <v>740</v>
      </c>
      <c r="J78" s="13">
        <f>329/6</f>
        <v>54.833333333333336</v>
      </c>
      <c r="K78" s="12">
        <v>0.75</v>
      </c>
      <c r="L78" s="12" t="s">
        <v>739</v>
      </c>
      <c r="M78" s="64">
        <f>0.68/6</f>
        <v>0.11333333333333334</v>
      </c>
      <c r="N78" s="12">
        <v>0.75</v>
      </c>
      <c r="O78" s="12" t="s">
        <v>1095</v>
      </c>
      <c r="P78" s="12">
        <f>361/6</f>
        <v>60.166666666666664</v>
      </c>
      <c r="Q78" s="12">
        <v>0.5</v>
      </c>
      <c r="R78" s="12" t="s">
        <v>1094</v>
      </c>
      <c r="S78" s="12">
        <f>90/6</f>
        <v>15</v>
      </c>
      <c r="T78" s="12">
        <v>0.75</v>
      </c>
      <c r="U78" s="12">
        <v>21.833841336300004</v>
      </c>
      <c r="V78" s="12">
        <v>21.833841336300004</v>
      </c>
      <c r="W78" s="7">
        <v>99</v>
      </c>
      <c r="X78" s="12">
        <f>0.103/6</f>
        <v>1.7166666666666667E-2</v>
      </c>
      <c r="Y78" s="7" t="s">
        <v>361</v>
      </c>
      <c r="Z78" s="7">
        <v>9</v>
      </c>
      <c r="AA78" s="7">
        <v>1</v>
      </c>
      <c r="AB78" s="7"/>
      <c r="AC78" s="7"/>
      <c r="AD78" s="4" t="s">
        <v>1129</v>
      </c>
      <c r="AE78" s="4">
        <v>2.7</v>
      </c>
      <c r="AF78" s="4"/>
      <c r="AG78" s="4">
        <v>0.25</v>
      </c>
      <c r="AH78" s="9" t="s">
        <v>362</v>
      </c>
      <c r="AI78" s="9" t="s">
        <v>363</v>
      </c>
      <c r="AJ78" s="9" t="s">
        <v>364</v>
      </c>
      <c r="AK78" s="9" t="s">
        <v>30</v>
      </c>
      <c r="AL78" s="10" t="s">
        <v>365</v>
      </c>
      <c r="AM78" s="10" t="s">
        <v>1127</v>
      </c>
      <c r="AN78" s="10" t="s">
        <v>1128</v>
      </c>
      <c r="AO78" s="10" t="s">
        <v>1126</v>
      </c>
      <c r="AP78" s="10" t="s">
        <v>1125</v>
      </c>
      <c r="AQ78" s="11" t="s">
        <v>366</v>
      </c>
      <c r="AR78" s="4"/>
      <c r="AS78" s="10" t="s">
        <v>856</v>
      </c>
      <c r="AT78" s="10" t="s">
        <v>1082</v>
      </c>
      <c r="AU78" s="10"/>
      <c r="AV78" s="10"/>
      <c r="AW78" s="10"/>
      <c r="AX78" s="10"/>
      <c r="AY78" s="10"/>
      <c r="AZ78" s="10"/>
      <c r="BA78" s="10"/>
      <c r="BB78" s="10"/>
      <c r="BC78" s="10" t="s">
        <v>1093</v>
      </c>
      <c r="BD78" s="10"/>
    </row>
    <row r="79" spans="1:56" ht="45" x14ac:dyDescent="0.25">
      <c r="A79" s="4" t="s">
        <v>976</v>
      </c>
      <c r="B79" s="4"/>
      <c r="C79" s="4" t="s">
        <v>186</v>
      </c>
      <c r="D79" s="4" t="s">
        <v>23</v>
      </c>
      <c r="E79" s="5" t="s">
        <v>34</v>
      </c>
      <c r="F79" s="6"/>
      <c r="G79" s="4" t="s">
        <v>26</v>
      </c>
      <c r="H79" s="4" t="s">
        <v>367</v>
      </c>
      <c r="I79" s="12">
        <v>36.299999999999997</v>
      </c>
      <c r="J79" s="12">
        <v>36.299999999999997</v>
      </c>
      <c r="K79" s="12"/>
      <c r="L79" s="12">
        <v>9.4E-2</v>
      </c>
      <c r="M79" s="64">
        <v>0.09</v>
      </c>
      <c r="N79" s="12"/>
      <c r="O79" s="12"/>
      <c r="P79" s="12"/>
      <c r="Q79" s="12"/>
      <c r="R79" s="12">
        <f>540+360+60</f>
        <v>960</v>
      </c>
      <c r="S79" s="12">
        <v>960</v>
      </c>
      <c r="T79" s="12"/>
      <c r="U79" s="12"/>
      <c r="V79" s="12"/>
      <c r="W79" s="7"/>
      <c r="X79" s="12"/>
      <c r="Y79" s="7"/>
      <c r="Z79" s="7"/>
      <c r="AA79" s="7"/>
      <c r="AB79" s="7"/>
      <c r="AC79" s="7"/>
      <c r="AD79" s="4"/>
      <c r="AE79" s="4"/>
      <c r="AF79" s="4"/>
      <c r="AG79" s="4"/>
      <c r="AH79" s="9"/>
      <c r="AI79" s="9"/>
      <c r="AJ79" s="9"/>
      <c r="AK79" s="9" t="s">
        <v>30</v>
      </c>
      <c r="AL79" s="10"/>
      <c r="AM79" s="10"/>
      <c r="AN79" s="10"/>
      <c r="AO79" s="10"/>
      <c r="AP79" s="10"/>
      <c r="AQ79" s="11">
        <v>10</v>
      </c>
      <c r="AR79" s="4"/>
      <c r="AS79" s="10" t="s">
        <v>959</v>
      </c>
      <c r="AT79" s="10"/>
      <c r="AU79" s="10"/>
      <c r="AV79" s="10"/>
      <c r="AW79" s="10"/>
      <c r="AX79" s="10"/>
      <c r="AY79" s="10"/>
      <c r="AZ79" s="10"/>
      <c r="BA79" s="10"/>
      <c r="BB79" s="10"/>
      <c r="BC79" s="10"/>
      <c r="BD79" s="10"/>
    </row>
    <row r="80" spans="1:56" ht="165" x14ac:dyDescent="0.25">
      <c r="A80" s="4" t="s">
        <v>368</v>
      </c>
      <c r="B80" s="4"/>
      <c r="C80" s="4" t="s">
        <v>22</v>
      </c>
      <c r="D80" s="4" t="s">
        <v>116</v>
      </c>
      <c r="E80" s="5" t="s">
        <v>24</v>
      </c>
      <c r="F80" s="4"/>
      <c r="G80" s="4" t="s">
        <v>35</v>
      </c>
      <c r="H80" s="62" t="s">
        <v>1011</v>
      </c>
      <c r="I80" s="12">
        <v>165.56</v>
      </c>
      <c r="J80" s="12">
        <f>1*3*1.5*Mission_Duration+10.43*10*0.75</f>
        <v>2778.2249999999999</v>
      </c>
      <c r="K80" s="12">
        <v>0.25</v>
      </c>
      <c r="L80" s="12">
        <v>0.2082</v>
      </c>
      <c r="M80" s="64">
        <f>M38</f>
        <v>3.1099999999999999E-2</v>
      </c>
      <c r="N80" s="12">
        <v>0.25</v>
      </c>
      <c r="O80" s="12">
        <v>0</v>
      </c>
      <c r="P80" s="12">
        <v>0</v>
      </c>
      <c r="Q80" s="12">
        <v>0.75</v>
      </c>
      <c r="R80" s="12">
        <v>0</v>
      </c>
      <c r="S80" s="12">
        <f>S38</f>
        <v>12</v>
      </c>
      <c r="T80" s="12">
        <v>0.25</v>
      </c>
      <c r="U80" s="12">
        <v>55.425750000000001</v>
      </c>
      <c r="V80" s="12">
        <v>55.425750000000001</v>
      </c>
      <c r="W80" s="7"/>
      <c r="X80" s="12"/>
      <c r="Y80" s="7"/>
      <c r="Z80" s="7">
        <v>6</v>
      </c>
      <c r="AA80" s="7">
        <v>0.25</v>
      </c>
      <c r="AB80" s="7">
        <f>1*10^7</f>
        <v>10000000</v>
      </c>
      <c r="AC80" s="7">
        <v>0.25</v>
      </c>
      <c r="AD80" s="4"/>
      <c r="AE80" s="4"/>
      <c r="AF80" s="4"/>
      <c r="AG80" s="4"/>
      <c r="AH80" s="9"/>
      <c r="AI80" s="9"/>
      <c r="AJ80" s="9"/>
      <c r="AK80" s="9" t="s">
        <v>30</v>
      </c>
      <c r="AL80" s="10" t="s">
        <v>369</v>
      </c>
      <c r="AM80" s="10"/>
      <c r="AN80" s="10"/>
      <c r="AO80" s="10"/>
      <c r="AP80" s="10"/>
      <c r="AQ80" s="11" t="s">
        <v>370</v>
      </c>
      <c r="AR80" s="4"/>
      <c r="AS80" s="10"/>
      <c r="AT80" s="10" t="s">
        <v>1082</v>
      </c>
      <c r="AU80" s="10"/>
      <c r="AV80" s="10"/>
      <c r="AW80" s="10"/>
      <c r="AX80" s="10"/>
      <c r="AY80" s="10"/>
      <c r="AZ80" s="10"/>
      <c r="BA80" s="10"/>
      <c r="BB80" s="10"/>
      <c r="BC80" s="10">
        <v>293</v>
      </c>
      <c r="BD80" s="10">
        <v>101</v>
      </c>
    </row>
    <row r="81" spans="1:56" ht="165" x14ac:dyDescent="0.25">
      <c r="A81" s="4" t="s">
        <v>371</v>
      </c>
      <c r="B81" s="4" t="s">
        <v>612</v>
      </c>
      <c r="C81" s="4" t="s">
        <v>22</v>
      </c>
      <c r="D81" s="4" t="s">
        <v>33</v>
      </c>
      <c r="E81" s="5" t="s">
        <v>34</v>
      </c>
      <c r="F81" s="4"/>
      <c r="G81" s="4" t="s">
        <v>35</v>
      </c>
      <c r="H81" s="62" t="s">
        <v>1012</v>
      </c>
      <c r="I81" s="12" t="s">
        <v>741</v>
      </c>
      <c r="J81" s="12">
        <v>47.280449999999995</v>
      </c>
      <c r="K81" s="12">
        <v>0.75</v>
      </c>
      <c r="L81" s="12" t="s">
        <v>742</v>
      </c>
      <c r="M81" s="64">
        <v>8.1585000000000005E-2</v>
      </c>
      <c r="N81" s="12">
        <v>0.75</v>
      </c>
      <c r="O81" s="12" t="s">
        <v>372</v>
      </c>
      <c r="P81" s="12">
        <v>133.64400000000001</v>
      </c>
      <c r="Q81" s="12">
        <v>0.75</v>
      </c>
      <c r="R81" s="12" t="s">
        <v>373</v>
      </c>
      <c r="S81" s="12">
        <v>133.64400000000001</v>
      </c>
      <c r="T81" s="12">
        <v>0.75</v>
      </c>
      <c r="U81" s="12">
        <v>38.959090799999998</v>
      </c>
      <c r="V81" s="12">
        <v>38.959090799999998</v>
      </c>
      <c r="W81" s="7"/>
      <c r="X81" s="12">
        <v>0</v>
      </c>
      <c r="Y81" s="7" t="s">
        <v>376</v>
      </c>
      <c r="Z81" s="7">
        <v>8</v>
      </c>
      <c r="AA81" s="7">
        <v>0.75</v>
      </c>
      <c r="AB81" s="7">
        <v>17000</v>
      </c>
      <c r="AC81" s="7">
        <v>0.5</v>
      </c>
      <c r="AD81" s="4" t="s">
        <v>1101</v>
      </c>
      <c r="AE81" s="4">
        <v>0</v>
      </c>
      <c r="AF81" s="4"/>
      <c r="AG81" s="4">
        <v>0.25</v>
      </c>
      <c r="AH81" s="9"/>
      <c r="AI81" s="9" t="s">
        <v>377</v>
      </c>
      <c r="AJ81" s="9" t="s">
        <v>378</v>
      </c>
      <c r="AK81" s="9" t="s">
        <v>30</v>
      </c>
      <c r="AL81" s="10" t="s">
        <v>379</v>
      </c>
      <c r="AM81" s="10" t="s">
        <v>380</v>
      </c>
      <c r="AN81" s="10" t="s">
        <v>381</v>
      </c>
      <c r="AO81" s="10" t="s">
        <v>382</v>
      </c>
      <c r="AP81" s="10" t="s">
        <v>383</v>
      </c>
      <c r="AQ81" s="11" t="s">
        <v>384</v>
      </c>
      <c r="AR81" s="4"/>
      <c r="AS81" s="10"/>
      <c r="AT81" s="10" t="s">
        <v>1081</v>
      </c>
      <c r="AU81" s="10"/>
      <c r="AV81" s="10"/>
      <c r="AW81" s="10"/>
      <c r="AX81" s="10"/>
      <c r="AY81" s="10"/>
      <c r="AZ81" s="10"/>
      <c r="BA81" s="10"/>
      <c r="BB81" s="10"/>
      <c r="BC81" s="10" t="s">
        <v>374</v>
      </c>
      <c r="BD81" s="10" t="s">
        <v>375</v>
      </c>
    </row>
    <row r="82" spans="1:56" ht="135" x14ac:dyDescent="0.25">
      <c r="A82" s="4" t="s">
        <v>1482</v>
      </c>
      <c r="B82" s="4" t="s">
        <v>1483</v>
      </c>
      <c r="C82" s="4" t="s">
        <v>22</v>
      </c>
      <c r="D82" s="4" t="s">
        <v>62</v>
      </c>
      <c r="E82" s="5" t="s">
        <v>34</v>
      </c>
      <c r="F82" s="4"/>
      <c r="G82" s="4" t="s">
        <v>35</v>
      </c>
      <c r="H82" s="4" t="s">
        <v>1102</v>
      </c>
      <c r="I82" s="12" t="s">
        <v>743</v>
      </c>
      <c r="J82" s="12">
        <f>676/6</f>
        <v>112.66666666666667</v>
      </c>
      <c r="K82" s="12">
        <v>0.75</v>
      </c>
      <c r="L82" s="12" t="s">
        <v>744</v>
      </c>
      <c r="M82" s="64">
        <f>0.79/6</f>
        <v>0.13166666666666668</v>
      </c>
      <c r="N82" s="12">
        <v>0.75</v>
      </c>
      <c r="O82" s="12" t="s">
        <v>1103</v>
      </c>
      <c r="P82" s="12">
        <f>330/6</f>
        <v>55</v>
      </c>
      <c r="Q82" s="12">
        <v>0.75</v>
      </c>
      <c r="R82" s="12" t="s">
        <v>1104</v>
      </c>
      <c r="S82" s="12">
        <f>3219/6</f>
        <v>536.5</v>
      </c>
      <c r="T82" s="12">
        <v>0.75</v>
      </c>
      <c r="U82" s="12">
        <v>43.901899109433955</v>
      </c>
      <c r="V82" s="12">
        <v>43.901899109433955</v>
      </c>
      <c r="W82" s="7"/>
      <c r="X82" s="12">
        <v>5.7119999999999997E-2</v>
      </c>
      <c r="Y82" s="7" t="s">
        <v>387</v>
      </c>
      <c r="Z82" s="7">
        <v>9</v>
      </c>
      <c r="AA82" s="7">
        <v>1</v>
      </c>
      <c r="AB82" s="8">
        <f>1/(1/27156+1/61846+1/296701+1/138408+1/98112+1/47479+1/103280+1/144540+1/33288)</f>
        <v>7067.8855543274412</v>
      </c>
      <c r="AC82" s="7">
        <v>0.75</v>
      </c>
      <c r="AD82" s="4" t="s">
        <v>1697</v>
      </c>
      <c r="AE82" s="13"/>
      <c r="AF82" s="13">
        <f>66.48/6</f>
        <v>11.08</v>
      </c>
      <c r="AG82" s="4">
        <v>0.75</v>
      </c>
      <c r="AH82" s="9"/>
      <c r="AI82" s="9"/>
      <c r="AJ82" s="9"/>
      <c r="AK82" s="9" t="s">
        <v>30</v>
      </c>
      <c r="AL82" s="10" t="s">
        <v>388</v>
      </c>
      <c r="AM82" s="10"/>
      <c r="AN82" s="10"/>
      <c r="AO82" s="10"/>
      <c r="AP82" s="10"/>
      <c r="AQ82" s="11" t="s">
        <v>389</v>
      </c>
      <c r="AR82" s="4" t="s">
        <v>32</v>
      </c>
      <c r="AS82" s="10" t="s">
        <v>1466</v>
      </c>
      <c r="AT82" s="10"/>
      <c r="AU82" s="10"/>
      <c r="AV82" s="10" t="s">
        <v>857</v>
      </c>
      <c r="AW82" s="10"/>
      <c r="AX82" s="10"/>
      <c r="AY82" s="10"/>
      <c r="AZ82" s="10"/>
      <c r="BA82" s="10"/>
      <c r="BB82" s="10"/>
      <c r="BC82" s="10" t="s">
        <v>385</v>
      </c>
      <c r="BD82" s="10" t="s">
        <v>386</v>
      </c>
    </row>
    <row r="83" spans="1:56" ht="105" x14ac:dyDescent="0.25">
      <c r="A83" s="4" t="s">
        <v>390</v>
      </c>
      <c r="B83" s="4" t="s">
        <v>1481</v>
      </c>
      <c r="C83" s="4" t="s">
        <v>139</v>
      </c>
      <c r="D83" s="4" t="s">
        <v>23</v>
      </c>
      <c r="E83" s="5" t="s">
        <v>34</v>
      </c>
      <c r="F83" s="4"/>
      <c r="G83" s="4" t="s">
        <v>35</v>
      </c>
      <c r="H83" s="62" t="s">
        <v>391</v>
      </c>
      <c r="I83" s="12"/>
      <c r="J83" s="12"/>
      <c r="K83" s="12"/>
      <c r="L83" s="12"/>
      <c r="M83" s="64"/>
      <c r="N83" s="12"/>
      <c r="O83" s="12"/>
      <c r="P83" s="12"/>
      <c r="Q83" s="12"/>
      <c r="R83" s="12"/>
      <c r="S83" s="12"/>
      <c r="T83" s="12"/>
      <c r="U83" s="12"/>
      <c r="V83" s="12"/>
      <c r="W83" s="7"/>
      <c r="X83" s="12">
        <v>0</v>
      </c>
      <c r="Y83" s="7"/>
      <c r="Z83" s="7"/>
      <c r="AA83" s="7"/>
      <c r="AB83" s="7"/>
      <c r="AC83" s="7"/>
      <c r="AD83" s="4"/>
      <c r="AE83" s="4"/>
      <c r="AF83" s="4"/>
      <c r="AG83" s="4"/>
      <c r="AH83" s="9" t="s">
        <v>392</v>
      </c>
      <c r="AI83" s="9" t="s">
        <v>393</v>
      </c>
      <c r="AJ83" s="9"/>
      <c r="AK83" s="9" t="s">
        <v>30</v>
      </c>
      <c r="AL83" s="10"/>
      <c r="AM83" s="10"/>
      <c r="AN83" s="10"/>
      <c r="AO83" s="10"/>
      <c r="AP83" s="10"/>
      <c r="AQ83" s="11">
        <v>1</v>
      </c>
      <c r="AR83" s="4"/>
      <c r="AS83" s="10"/>
      <c r="AT83" s="10"/>
      <c r="AU83" s="10"/>
      <c r="AV83" s="10"/>
      <c r="AW83" s="10"/>
      <c r="AX83" s="10"/>
      <c r="AY83" s="10"/>
      <c r="AZ83" s="10"/>
      <c r="BA83" s="10"/>
      <c r="BB83" s="10"/>
      <c r="BC83" s="10"/>
      <c r="BD83" s="10"/>
    </row>
    <row r="84" spans="1:56" ht="195" x14ac:dyDescent="0.25">
      <c r="A84" s="4" t="s">
        <v>394</v>
      </c>
      <c r="B84" s="4" t="s">
        <v>619</v>
      </c>
      <c r="C84" s="4" t="s">
        <v>22</v>
      </c>
      <c r="D84" s="4" t="s">
        <v>62</v>
      </c>
      <c r="E84" s="5" t="s">
        <v>34</v>
      </c>
      <c r="F84" s="4"/>
      <c r="G84" s="4" t="s">
        <v>35</v>
      </c>
      <c r="H84" s="62" t="s">
        <v>1105</v>
      </c>
      <c r="I84" s="12" t="s">
        <v>395</v>
      </c>
      <c r="J84" s="12">
        <v>28.25</v>
      </c>
      <c r="K84" s="12">
        <v>0.75</v>
      </c>
      <c r="L84" s="12" t="s">
        <v>745</v>
      </c>
      <c r="M84" s="64">
        <v>3.5000000000000003E-2</v>
      </c>
      <c r="N84" s="12">
        <v>0.75</v>
      </c>
      <c r="O84" s="12" t="s">
        <v>396</v>
      </c>
      <c r="P84" s="12">
        <v>9.75</v>
      </c>
      <c r="Q84" s="12">
        <v>0.75</v>
      </c>
      <c r="R84" s="12" t="s">
        <v>397</v>
      </c>
      <c r="S84" s="12">
        <v>367.5</v>
      </c>
      <c r="T84" s="12">
        <v>0.75</v>
      </c>
      <c r="U84" s="12">
        <v>17.167524999999998</v>
      </c>
      <c r="V84" s="12">
        <v>17.167524999999998</v>
      </c>
      <c r="W84" s="7"/>
      <c r="X84" s="12">
        <v>0</v>
      </c>
      <c r="Y84" s="7" t="s">
        <v>399</v>
      </c>
      <c r="Z84" s="7">
        <v>8</v>
      </c>
      <c r="AA84" s="7">
        <v>0.75</v>
      </c>
      <c r="AB84" s="8">
        <f>1/(1/27156+1/61846+1/296701+1/138408+1/98112+1/47479+1/103280+1/144540+1/33288)</f>
        <v>7067.8855543274412</v>
      </c>
      <c r="AC84" s="7">
        <v>0.5</v>
      </c>
      <c r="AD84" s="4" t="s">
        <v>400</v>
      </c>
      <c r="AE84" s="13">
        <f>(10/360)*Mission_Duration</f>
        <v>16.666666666666664</v>
      </c>
      <c r="AF84" s="13"/>
      <c r="AG84" s="4">
        <v>0.25</v>
      </c>
      <c r="AH84" s="9"/>
      <c r="AI84" s="9" t="s">
        <v>401</v>
      </c>
      <c r="AJ84" s="9" t="s">
        <v>402</v>
      </c>
      <c r="AK84" s="9" t="s">
        <v>30</v>
      </c>
      <c r="AL84" s="10" t="s">
        <v>403</v>
      </c>
      <c r="AM84" s="10"/>
      <c r="AN84" s="10"/>
      <c r="AO84" s="10"/>
      <c r="AP84" s="10"/>
      <c r="AQ84" s="11" t="s">
        <v>404</v>
      </c>
      <c r="AR84" s="4"/>
      <c r="AS84" s="10" t="s">
        <v>1466</v>
      </c>
      <c r="AT84" s="10"/>
      <c r="AU84" s="10"/>
      <c r="AV84" s="10" t="s">
        <v>857</v>
      </c>
      <c r="AW84" s="10"/>
      <c r="AX84" s="10"/>
      <c r="AY84" s="10"/>
      <c r="AZ84" s="10"/>
      <c r="BA84" s="10"/>
      <c r="BB84" s="10"/>
      <c r="BC84" s="10"/>
      <c r="BD84" s="10" t="s">
        <v>398</v>
      </c>
    </row>
    <row r="85" spans="1:56" ht="195" x14ac:dyDescent="0.25">
      <c r="A85" s="4" t="s">
        <v>405</v>
      </c>
      <c r="B85" s="4" t="s">
        <v>1484</v>
      </c>
      <c r="C85" s="4" t="s">
        <v>139</v>
      </c>
      <c r="D85" s="4" t="s">
        <v>23</v>
      </c>
      <c r="E85" s="5" t="s">
        <v>34</v>
      </c>
      <c r="F85" s="4"/>
      <c r="G85" s="4" t="s">
        <v>35</v>
      </c>
      <c r="H85" s="62" t="s">
        <v>406</v>
      </c>
      <c r="I85" s="12" t="s">
        <v>407</v>
      </c>
      <c r="J85" s="12"/>
      <c r="K85" s="12"/>
      <c r="L85" s="12" t="s">
        <v>746</v>
      </c>
      <c r="M85" s="64"/>
      <c r="N85" s="12"/>
      <c r="O85" s="12" t="s">
        <v>408</v>
      </c>
      <c r="P85" s="12"/>
      <c r="Q85" s="12"/>
      <c r="R85" s="12" t="s">
        <v>409</v>
      </c>
      <c r="S85" s="12"/>
      <c r="T85" s="12"/>
      <c r="U85" s="12"/>
      <c r="V85" s="12"/>
      <c r="W85" s="7">
        <v>100</v>
      </c>
      <c r="X85" s="12"/>
      <c r="Y85" s="7" t="s">
        <v>411</v>
      </c>
      <c r="Z85" s="7">
        <v>4</v>
      </c>
      <c r="AA85" s="7">
        <v>0.75</v>
      </c>
      <c r="AB85" s="15"/>
      <c r="AC85" s="7"/>
      <c r="AD85" s="4" t="s">
        <v>412</v>
      </c>
      <c r="AE85" s="4"/>
      <c r="AF85" s="4"/>
      <c r="AG85" s="4"/>
      <c r="AH85" s="9" t="s">
        <v>413</v>
      </c>
      <c r="AI85" s="9" t="s">
        <v>414</v>
      </c>
      <c r="AJ85" s="9" t="s">
        <v>415</v>
      </c>
      <c r="AK85" s="9" t="s">
        <v>416</v>
      </c>
      <c r="AL85" s="10" t="s">
        <v>417</v>
      </c>
      <c r="AM85" s="10" t="s">
        <v>418</v>
      </c>
      <c r="AN85" s="10"/>
      <c r="AO85" s="10" t="s">
        <v>419</v>
      </c>
      <c r="AP85" s="10"/>
      <c r="AQ85" s="11" t="s">
        <v>420</v>
      </c>
      <c r="AR85" s="4"/>
      <c r="AS85" s="10"/>
      <c r="AT85" s="10"/>
      <c r="AU85" s="10"/>
      <c r="AV85" s="10"/>
      <c r="AW85" s="10"/>
      <c r="AX85" s="10"/>
      <c r="AY85" s="10" t="s">
        <v>856</v>
      </c>
      <c r="AZ85" s="10" t="s">
        <v>860</v>
      </c>
      <c r="BA85" s="10" t="s">
        <v>879</v>
      </c>
      <c r="BB85" s="10"/>
      <c r="BC85" s="10" t="s">
        <v>410</v>
      </c>
      <c r="BD85" s="10" t="s">
        <v>1185</v>
      </c>
    </row>
    <row r="86" spans="1:56" ht="289.5" x14ac:dyDescent="0.25">
      <c r="A86" s="4" t="s">
        <v>421</v>
      </c>
      <c r="B86" s="4"/>
      <c r="C86" s="4" t="s">
        <v>22</v>
      </c>
      <c r="D86" s="4" t="s">
        <v>116</v>
      </c>
      <c r="E86" s="5" t="s">
        <v>24</v>
      </c>
      <c r="F86" s="4"/>
      <c r="G86" s="4" t="s">
        <v>35</v>
      </c>
      <c r="H86" s="62" t="s">
        <v>1013</v>
      </c>
      <c r="I86" s="12">
        <f>ROUNDUP(SUM_O2_Consumption*Mission_Duration/1.7,0)*15.2</f>
        <v>24700</v>
      </c>
      <c r="J86" s="12">
        <f>technologies[[#This Row],[Mass
Literature]]/Crew_Size</f>
        <v>4940</v>
      </c>
      <c r="K86" s="12">
        <v>0.75</v>
      </c>
      <c r="L86" s="12">
        <f>ROUNDUP(SUM_O2_Consumption*Mission_Duration/1.7,0)*0.02</f>
        <v>32.5</v>
      </c>
      <c r="M86" s="64">
        <f>technologies[[#This Row],[Volume
Literature]]/Crew_Size</f>
        <v>6.5</v>
      </c>
      <c r="N86" s="12">
        <v>0.75</v>
      </c>
      <c r="O86" s="12"/>
      <c r="P86" s="12">
        <v>0</v>
      </c>
      <c r="Q86" s="12">
        <v>0.5</v>
      </c>
      <c r="R86" s="12">
        <f>45/6*Crew_Size</f>
        <v>37.5</v>
      </c>
      <c r="S86" s="12">
        <f>technologies[[#This Row],[Power required
Literature]]/100</f>
        <v>0.375</v>
      </c>
      <c r="T86" s="12">
        <v>0.5</v>
      </c>
      <c r="U86" s="12">
        <v>10.183999999999999</v>
      </c>
      <c r="V86" s="12">
        <v>10.183999999999999</v>
      </c>
      <c r="W86" s="7">
        <v>0.5</v>
      </c>
      <c r="X86" s="12"/>
      <c r="Y86" s="7">
        <v>9</v>
      </c>
      <c r="Z86" s="7">
        <v>9</v>
      </c>
      <c r="AA86" s="7">
        <v>1</v>
      </c>
      <c r="AB86" s="7">
        <f>1*10^7</f>
        <v>10000000</v>
      </c>
      <c r="AC86" s="7">
        <v>0.75</v>
      </c>
      <c r="AD86" s="4"/>
      <c r="AE86" s="13">
        <f>6.22/7*365*10</f>
        <v>3243.2857142857142</v>
      </c>
      <c r="AF86" s="13"/>
      <c r="AG86" s="4">
        <v>0.25</v>
      </c>
      <c r="AH86" s="9" t="s">
        <v>423</v>
      </c>
      <c r="AI86" s="9" t="s">
        <v>424</v>
      </c>
      <c r="AJ86" s="9"/>
      <c r="AK86" s="9" t="s">
        <v>425</v>
      </c>
      <c r="AL86" s="10" t="s">
        <v>426</v>
      </c>
      <c r="AM86" s="10" t="s">
        <v>427</v>
      </c>
      <c r="AN86" s="10" t="s">
        <v>428</v>
      </c>
      <c r="AO86" s="10" t="s">
        <v>429</v>
      </c>
      <c r="AP86" s="10" t="s">
        <v>430</v>
      </c>
      <c r="AQ86" s="11" t="s">
        <v>431</v>
      </c>
      <c r="AR86" s="4"/>
      <c r="AS86" s="10"/>
      <c r="AT86" s="10"/>
      <c r="AU86" s="10"/>
      <c r="AV86" s="10" t="s">
        <v>857</v>
      </c>
      <c r="AW86" s="10" t="s">
        <v>856</v>
      </c>
      <c r="AX86" s="10"/>
      <c r="AY86" s="10" t="s">
        <v>1082</v>
      </c>
      <c r="AZ86" s="10"/>
      <c r="BA86" s="10"/>
      <c r="BB86" s="10"/>
      <c r="BC86" s="10" t="s">
        <v>422</v>
      </c>
      <c r="BD86" s="10"/>
    </row>
    <row r="87" spans="1:56" ht="120" x14ac:dyDescent="0.25">
      <c r="A87" s="4" t="s">
        <v>974</v>
      </c>
      <c r="B87" s="4"/>
      <c r="C87" s="4" t="s">
        <v>70</v>
      </c>
      <c r="D87" s="4" t="s">
        <v>23</v>
      </c>
      <c r="E87" s="5" t="s">
        <v>34</v>
      </c>
      <c r="F87" s="6"/>
      <c r="G87" s="4" t="s">
        <v>67</v>
      </c>
      <c r="H87" s="62" t="s">
        <v>432</v>
      </c>
      <c r="I87" s="12"/>
      <c r="J87" s="12"/>
      <c r="K87" s="12"/>
      <c r="L87" s="12"/>
      <c r="M87" s="64"/>
      <c r="N87" s="12"/>
      <c r="O87" s="12"/>
      <c r="P87" s="12"/>
      <c r="Q87" s="12"/>
      <c r="R87" s="12">
        <v>0</v>
      </c>
      <c r="S87" s="12"/>
      <c r="T87" s="12"/>
      <c r="U87" s="12"/>
      <c r="V87" s="12"/>
      <c r="W87" s="7"/>
      <c r="X87" s="12"/>
      <c r="Y87" s="7" t="str">
        <f>Y128</f>
        <v>8
9</v>
      </c>
      <c r="Z87" s="7">
        <v>8</v>
      </c>
      <c r="AA87" s="7">
        <v>1</v>
      </c>
      <c r="AB87" s="7"/>
      <c r="AC87" s="7"/>
      <c r="AD87" s="4"/>
      <c r="AE87" s="4"/>
      <c r="AF87" s="4"/>
      <c r="AG87" s="4"/>
      <c r="AH87" s="9"/>
      <c r="AI87" s="9"/>
      <c r="AJ87" s="9"/>
      <c r="AK87" s="9" t="s">
        <v>30</v>
      </c>
      <c r="AL87" s="10"/>
      <c r="AM87" s="10"/>
      <c r="AN87" s="10"/>
      <c r="AO87" s="10"/>
      <c r="AP87" s="10"/>
      <c r="AQ87" s="11">
        <v>1</v>
      </c>
      <c r="AR87" s="4"/>
      <c r="AS87" s="10" t="s">
        <v>944</v>
      </c>
      <c r="AT87" s="10" t="s">
        <v>945</v>
      </c>
      <c r="AU87" s="10" t="s">
        <v>890</v>
      </c>
      <c r="AV87" s="10"/>
      <c r="AW87" s="10"/>
      <c r="AX87" s="10"/>
      <c r="AY87" s="10"/>
      <c r="AZ87" s="10"/>
      <c r="BA87" s="10"/>
      <c r="BB87" s="10"/>
      <c r="BC87" s="10"/>
      <c r="BD87" s="10"/>
    </row>
    <row r="88" spans="1:56" ht="315" x14ac:dyDescent="0.25">
      <c r="A88" s="4" t="s">
        <v>975</v>
      </c>
      <c r="B88" s="4" t="s">
        <v>640</v>
      </c>
      <c r="C88" s="4" t="s">
        <v>46</v>
      </c>
      <c r="D88" s="4" t="s">
        <v>1160</v>
      </c>
      <c r="E88" s="5" t="s">
        <v>34</v>
      </c>
      <c r="F88" s="4"/>
      <c r="G88" s="4" t="s">
        <v>35</v>
      </c>
      <c r="H88" s="62" t="s">
        <v>1106</v>
      </c>
      <c r="I88" s="12" t="s">
        <v>763</v>
      </c>
      <c r="J88" s="12">
        <v>5.4345654345654344</v>
      </c>
      <c r="K88" s="12">
        <v>0.5</v>
      </c>
      <c r="L88" s="12" t="s">
        <v>764</v>
      </c>
      <c r="M88" s="64">
        <v>1.8381618381618382E-2</v>
      </c>
      <c r="N88" s="12">
        <v>0.5</v>
      </c>
      <c r="O88" s="12" t="s">
        <v>433</v>
      </c>
      <c r="P88" s="12">
        <v>13.586413586413586</v>
      </c>
      <c r="Q88" s="12">
        <v>0.5</v>
      </c>
      <c r="R88" s="12" t="s">
        <v>434</v>
      </c>
      <c r="S88" s="12">
        <v>13.586413586413586</v>
      </c>
      <c r="T88" s="12">
        <v>0.5</v>
      </c>
      <c r="U88" s="12">
        <v>3.3286713286713288</v>
      </c>
      <c r="V88" s="12">
        <v>3.3286713286713288</v>
      </c>
      <c r="W88" s="7">
        <v>91</v>
      </c>
      <c r="X88" s="12">
        <v>3.996003996003996E-3</v>
      </c>
      <c r="Y88" s="7" t="s">
        <v>436</v>
      </c>
      <c r="Z88" s="7">
        <v>6</v>
      </c>
      <c r="AA88" s="7">
        <v>0.75</v>
      </c>
      <c r="AB88" s="7">
        <v>14300</v>
      </c>
      <c r="AC88" s="7">
        <v>0.5</v>
      </c>
      <c r="AD88" s="4" t="s">
        <v>437</v>
      </c>
      <c r="AE88" s="13">
        <f>36/9*Crew_Size/500*Mission_Duration</f>
        <v>24</v>
      </c>
      <c r="AF88" s="13"/>
      <c r="AG88" s="4">
        <v>0.5</v>
      </c>
      <c r="AH88" s="9" t="s">
        <v>438</v>
      </c>
      <c r="AI88" s="9" t="s">
        <v>439</v>
      </c>
      <c r="AJ88" s="9" t="s">
        <v>440</v>
      </c>
      <c r="AK88" s="9" t="s">
        <v>30</v>
      </c>
      <c r="AL88" s="10" t="s">
        <v>441</v>
      </c>
      <c r="AM88" s="10" t="s">
        <v>442</v>
      </c>
      <c r="AN88" s="10"/>
      <c r="AO88" s="10" t="s">
        <v>443</v>
      </c>
      <c r="AP88" s="10"/>
      <c r="AQ88" s="11" t="s">
        <v>444</v>
      </c>
      <c r="AR88" s="4" t="s">
        <v>445</v>
      </c>
      <c r="AS88" s="10" t="s">
        <v>861</v>
      </c>
      <c r="AT88" s="10"/>
      <c r="AU88" s="10"/>
      <c r="AV88" s="10"/>
      <c r="AW88" s="10"/>
      <c r="AX88" s="10" t="s">
        <v>860</v>
      </c>
      <c r="AY88" s="10"/>
      <c r="AZ88" s="10"/>
      <c r="BA88" s="10"/>
      <c r="BB88" s="10"/>
      <c r="BC88" s="10" t="s">
        <v>435</v>
      </c>
      <c r="BD88" s="10">
        <v>17</v>
      </c>
    </row>
    <row r="89" spans="1:56" ht="75" x14ac:dyDescent="0.25">
      <c r="A89" s="4" t="s">
        <v>446</v>
      </c>
      <c r="B89" s="4" t="s">
        <v>1485</v>
      </c>
      <c r="C89" s="4" t="s">
        <v>46</v>
      </c>
      <c r="D89" s="4" t="s">
        <v>165</v>
      </c>
      <c r="E89" s="5" t="s">
        <v>34</v>
      </c>
      <c r="F89" s="4"/>
      <c r="G89" s="4" t="s">
        <v>35</v>
      </c>
      <c r="H89" s="62" t="s">
        <v>447</v>
      </c>
      <c r="I89" s="12"/>
      <c r="J89" s="12"/>
      <c r="K89" s="12"/>
      <c r="L89" s="12"/>
      <c r="M89" s="64"/>
      <c r="N89" s="12"/>
      <c r="O89" s="12"/>
      <c r="P89" s="12"/>
      <c r="Q89" s="12"/>
      <c r="R89" s="12"/>
      <c r="S89" s="12"/>
      <c r="T89" s="12"/>
      <c r="U89" s="12"/>
      <c r="V89" s="12"/>
      <c r="W89" s="7"/>
      <c r="X89" s="12"/>
      <c r="Y89" s="7"/>
      <c r="Z89" s="7"/>
      <c r="AA89" s="7"/>
      <c r="AB89" s="7"/>
      <c r="AC89" s="7"/>
      <c r="AD89" s="4"/>
      <c r="AE89" s="4"/>
      <c r="AF89" s="4"/>
      <c r="AG89" s="4"/>
      <c r="AH89" s="9"/>
      <c r="AI89" s="9"/>
      <c r="AJ89" s="9"/>
      <c r="AK89" s="9" t="s">
        <v>30</v>
      </c>
      <c r="AL89" s="10"/>
      <c r="AM89" s="10"/>
      <c r="AN89" s="10"/>
      <c r="AO89" s="10"/>
      <c r="AP89" s="10"/>
      <c r="AQ89" s="11">
        <v>1</v>
      </c>
      <c r="AR89" s="4"/>
      <c r="AS89" s="10"/>
      <c r="AT89" s="10"/>
      <c r="AU89" s="10"/>
      <c r="AV89" s="10"/>
      <c r="AW89" s="10"/>
      <c r="AX89" s="10"/>
      <c r="AY89" s="10"/>
      <c r="AZ89" s="10"/>
      <c r="BA89" s="10"/>
      <c r="BB89" s="10"/>
      <c r="BC89" s="10"/>
      <c r="BD89" s="10"/>
    </row>
    <row r="90" spans="1:56" ht="135" x14ac:dyDescent="0.25">
      <c r="A90" s="4" t="s">
        <v>1506</v>
      </c>
      <c r="B90" s="4" t="s">
        <v>1501</v>
      </c>
      <c r="C90" s="4" t="s">
        <v>46</v>
      </c>
      <c r="D90" s="4" t="s">
        <v>1160</v>
      </c>
      <c r="E90" s="5" t="s">
        <v>34</v>
      </c>
      <c r="F90" s="4"/>
      <c r="G90" s="4" t="s">
        <v>35</v>
      </c>
      <c r="H90" s="4" t="s">
        <v>1507</v>
      </c>
      <c r="I90" s="12">
        <v>53</v>
      </c>
      <c r="J90" s="12">
        <f xml:space="preserve"> 53*26*1.6*0.85/22.6</f>
        <v>82.923893805309731</v>
      </c>
      <c r="K90" s="12">
        <v>0.75</v>
      </c>
      <c r="L90" s="12">
        <v>0.15</v>
      </c>
      <c r="M90" s="64">
        <f xml:space="preserve"> 0.15*26*1.6*0.85/22.6</f>
        <v>0.23469026548672567</v>
      </c>
      <c r="N90" s="12">
        <v>0.75</v>
      </c>
      <c r="O90" s="12">
        <v>142</v>
      </c>
      <c r="P90" s="12">
        <f xml:space="preserve"> 142*26*1.6*0.85/22.6</f>
        <v>222.17345132743364</v>
      </c>
      <c r="Q90" s="12">
        <v>0.75</v>
      </c>
      <c r="R90" s="12">
        <v>142</v>
      </c>
      <c r="S90" s="12">
        <f xml:space="preserve"> 142*26*1.6*0.85/22.6</f>
        <v>222.17345132743364</v>
      </c>
      <c r="T90" s="12">
        <v>0.75</v>
      </c>
      <c r="U90" s="12">
        <v>53</v>
      </c>
      <c r="V90" s="12">
        <v>53</v>
      </c>
      <c r="W90" s="7">
        <v>80</v>
      </c>
      <c r="X90" s="12">
        <f xml:space="preserve"> 0.25*0.8*1.6*0.85</f>
        <v>0.27200000000000002</v>
      </c>
      <c r="Y90" s="7">
        <v>9</v>
      </c>
      <c r="Z90" s="7">
        <v>9</v>
      </c>
      <c r="AA90" s="7">
        <v>1</v>
      </c>
      <c r="AB90" s="7"/>
      <c r="AC90" s="7"/>
      <c r="AD90" s="4"/>
      <c r="AE90" s="4"/>
      <c r="AF90" s="4">
        <v>14</v>
      </c>
      <c r="AG90" s="4"/>
      <c r="AH90" s="9"/>
      <c r="AI90" s="9"/>
      <c r="AJ90" s="9"/>
      <c r="AK90" s="9" t="s">
        <v>30</v>
      </c>
      <c r="AL90" s="10"/>
      <c r="AM90" s="10"/>
      <c r="AN90" s="10"/>
      <c r="AO90" s="10"/>
      <c r="AP90" s="10"/>
      <c r="AQ90" s="11"/>
      <c r="AR90" s="4"/>
      <c r="AS90" s="10" t="s">
        <v>1464</v>
      </c>
      <c r="AT90" s="10"/>
      <c r="AU90" s="10"/>
      <c r="AV90" s="10"/>
      <c r="AW90" s="10"/>
      <c r="AX90" s="10"/>
      <c r="AY90" s="10"/>
      <c r="AZ90" s="10"/>
      <c r="BA90" s="10"/>
      <c r="BB90" s="10"/>
      <c r="BC90" s="10"/>
      <c r="BD90" s="10"/>
    </row>
    <row r="91" spans="1:56" ht="165" x14ac:dyDescent="0.25">
      <c r="A91" s="4" t="s">
        <v>1391</v>
      </c>
      <c r="B91" s="4" t="s">
        <v>1486</v>
      </c>
      <c r="C91" s="4" t="s">
        <v>46</v>
      </c>
      <c r="D91" s="4" t="s">
        <v>1160</v>
      </c>
      <c r="E91" s="5" t="s">
        <v>34</v>
      </c>
      <c r="F91" s="4" t="s">
        <v>48</v>
      </c>
      <c r="G91" s="4" t="s">
        <v>35</v>
      </c>
      <c r="H91" s="62" t="s">
        <v>1687</v>
      </c>
      <c r="I91" s="12" t="s">
        <v>754</v>
      </c>
      <c r="J91" s="12">
        <f>455/6</f>
        <v>75.833333333333329</v>
      </c>
      <c r="K91" s="12">
        <v>0.75</v>
      </c>
      <c r="L91" s="12">
        <f>1.571/2</f>
        <v>0.78549999999999998</v>
      </c>
      <c r="M91" s="64">
        <f>technologies[[#This Row],[Volume
Literature]]/6</f>
        <v>0.13091666666666665</v>
      </c>
      <c r="N91" s="12">
        <v>0.75</v>
      </c>
      <c r="O91" s="12">
        <v>79</v>
      </c>
      <c r="P91" s="12">
        <f>technologies[[#This Row],[Power]]</f>
        <v>35.233333333333334</v>
      </c>
      <c r="Q91" s="12">
        <v>0.5</v>
      </c>
      <c r="R91" s="12" t="s">
        <v>1386</v>
      </c>
      <c r="S91" s="12">
        <f>211.4/6</f>
        <v>35.233333333333334</v>
      </c>
      <c r="T91" s="12">
        <v>1</v>
      </c>
      <c r="U91" s="12">
        <v>23.964705882352938</v>
      </c>
      <c r="V91" s="12">
        <v>23.964705882352938</v>
      </c>
      <c r="W91" s="7">
        <v>85</v>
      </c>
      <c r="X91" s="12">
        <f>1.6*technologies[[#This Row],[Efficiency]]/100 * 0.126</f>
        <v>0.17136000000000001</v>
      </c>
      <c r="Y91" s="7" t="s">
        <v>532</v>
      </c>
      <c r="Z91" s="7">
        <v>9</v>
      </c>
      <c r="AA91" s="7">
        <v>1</v>
      </c>
      <c r="AB91" s="12">
        <v>2898</v>
      </c>
      <c r="AC91" s="7">
        <v>0.75</v>
      </c>
      <c r="AD91" s="4" t="s">
        <v>1698</v>
      </c>
      <c r="AE91" s="4"/>
      <c r="AF91" s="4">
        <f>(9.75/1000)*4.2*365</f>
        <v>14.94675</v>
      </c>
      <c r="AG91" s="4">
        <v>1</v>
      </c>
      <c r="AH91" s="9"/>
      <c r="AI91" s="9"/>
      <c r="AJ91" s="9"/>
      <c r="AK91" s="9" t="s">
        <v>30</v>
      </c>
      <c r="AL91" s="10"/>
      <c r="AM91" s="10"/>
      <c r="AN91" s="10"/>
      <c r="AO91" s="10"/>
      <c r="AP91" s="10"/>
      <c r="AQ91" s="11" t="s">
        <v>533</v>
      </c>
      <c r="AR91" s="4"/>
      <c r="AS91" s="10" t="s">
        <v>860</v>
      </c>
      <c r="AT91" s="10"/>
      <c r="AU91" s="10"/>
      <c r="AV91" s="10"/>
      <c r="AW91" s="10"/>
      <c r="AX91" s="10"/>
      <c r="AY91" s="10"/>
      <c r="AZ91" s="10"/>
      <c r="BA91" s="10"/>
      <c r="BB91" s="10"/>
      <c r="BC91" s="10"/>
      <c r="BD91" s="10"/>
    </row>
    <row r="92" spans="1:56" ht="105" x14ac:dyDescent="0.25">
      <c r="A92" s="4" t="s">
        <v>534</v>
      </c>
      <c r="B92" s="4" t="s">
        <v>1487</v>
      </c>
      <c r="C92" s="4" t="s">
        <v>46</v>
      </c>
      <c r="D92" s="4" t="s">
        <v>165</v>
      </c>
      <c r="E92" s="5" t="s">
        <v>34</v>
      </c>
      <c r="F92" s="4" t="s">
        <v>48</v>
      </c>
      <c r="G92" s="4" t="s">
        <v>35</v>
      </c>
      <c r="H92" s="4" t="s">
        <v>1686</v>
      </c>
      <c r="I92" s="12" t="s">
        <v>1382</v>
      </c>
      <c r="J92" s="12">
        <f>930/6</f>
        <v>155</v>
      </c>
      <c r="K92" s="12">
        <v>1</v>
      </c>
      <c r="L92" s="12">
        <f>1.5*1.571</f>
        <v>2.3565</v>
      </c>
      <c r="M92" s="64">
        <f>technologies[[#This Row],[Volume
Literature]]/6</f>
        <v>0.39274999999999999</v>
      </c>
      <c r="N92" s="12">
        <v>0.75</v>
      </c>
      <c r="O92" s="12"/>
      <c r="P92" s="12">
        <f>technologies[[#This Row],[Power]]</f>
        <v>45.85</v>
      </c>
      <c r="Q92" s="12">
        <v>1</v>
      </c>
      <c r="R92" s="12" t="s">
        <v>1387</v>
      </c>
      <c r="S92" s="12">
        <f>275.1/6</f>
        <v>45.85</v>
      </c>
      <c r="T92" s="12">
        <v>1</v>
      </c>
      <c r="U92" s="12">
        <v>85.25</v>
      </c>
      <c r="V92" s="12">
        <v>85.25</v>
      </c>
      <c r="W92" s="7">
        <v>100</v>
      </c>
      <c r="X92" s="12">
        <f>4.2*(technologies[[#This Row],[Efficiency]]/100)*0.032</f>
        <v>0.13440000000000002</v>
      </c>
      <c r="Y92" s="7">
        <v>9</v>
      </c>
      <c r="Z92" s="7">
        <v>9</v>
      </c>
      <c r="AA92" s="7">
        <v>1</v>
      </c>
      <c r="AB92" s="12">
        <v>3214</v>
      </c>
      <c r="AC92" s="7"/>
      <c r="AD92" s="4" t="s">
        <v>1699</v>
      </c>
      <c r="AE92" s="4"/>
      <c r="AF92" s="4">
        <f>(4.55/1000)*1.6*365</f>
        <v>2.6572000000000005</v>
      </c>
      <c r="AG92" s="4">
        <v>1</v>
      </c>
      <c r="AH92" s="9"/>
      <c r="AI92" s="9"/>
      <c r="AJ92" s="9"/>
      <c r="AK92" s="9" t="s">
        <v>30</v>
      </c>
      <c r="AL92" s="10"/>
      <c r="AM92" s="10"/>
      <c r="AN92" s="10"/>
      <c r="AO92" s="10"/>
      <c r="AP92" s="10"/>
      <c r="AQ92" s="11" t="s">
        <v>535</v>
      </c>
      <c r="AR92" s="4"/>
      <c r="AS92" s="10" t="s">
        <v>858</v>
      </c>
      <c r="AT92" s="10"/>
      <c r="AU92" s="10"/>
      <c r="AV92" s="10"/>
      <c r="AW92" s="10"/>
      <c r="AX92" s="10"/>
      <c r="AY92" s="10"/>
      <c r="AZ92" s="10"/>
      <c r="BA92" s="10"/>
      <c r="BB92" s="10"/>
      <c r="BC92" s="10"/>
      <c r="BD92" s="10"/>
    </row>
    <row r="93" spans="1:56" ht="270" x14ac:dyDescent="0.25">
      <c r="A93" s="4" t="s">
        <v>1250</v>
      </c>
      <c r="B93" s="4" t="s">
        <v>648</v>
      </c>
      <c r="C93" s="4" t="s">
        <v>46</v>
      </c>
      <c r="D93" s="4" t="s">
        <v>1160</v>
      </c>
      <c r="E93" s="5" t="s">
        <v>34</v>
      </c>
      <c r="F93" s="4"/>
      <c r="G93" s="4" t="s">
        <v>35</v>
      </c>
      <c r="H93" s="62" t="s">
        <v>1015</v>
      </c>
      <c r="I93" s="12" t="s">
        <v>749</v>
      </c>
      <c r="J93" s="12">
        <v>67.992141453831039</v>
      </c>
      <c r="K93" s="12">
        <v>0.75</v>
      </c>
      <c r="L93" s="12" t="s">
        <v>750</v>
      </c>
      <c r="M93" s="64">
        <v>0.25909626719056977</v>
      </c>
      <c r="N93" s="12"/>
      <c r="O93" s="12" t="s">
        <v>462</v>
      </c>
      <c r="P93" s="12">
        <v>392.77013752455798</v>
      </c>
      <c r="Q93" s="12">
        <v>0.75</v>
      </c>
      <c r="R93" s="12" t="s">
        <v>463</v>
      </c>
      <c r="S93" s="12">
        <v>392.77013752455798</v>
      </c>
      <c r="T93" s="12">
        <v>0.75</v>
      </c>
      <c r="U93" s="12">
        <v>34.315633791748532</v>
      </c>
      <c r="V93" s="12">
        <v>34.315633791748532</v>
      </c>
      <c r="W93" s="7">
        <v>95</v>
      </c>
      <c r="X93" s="12">
        <v>8.25147347740668E-4</v>
      </c>
      <c r="Y93" s="7" t="s">
        <v>466</v>
      </c>
      <c r="Z93" s="7">
        <v>9</v>
      </c>
      <c r="AA93" s="7">
        <v>0.75</v>
      </c>
      <c r="AB93" s="15"/>
      <c r="AC93" s="7"/>
      <c r="AD93" s="4" t="s">
        <v>467</v>
      </c>
      <c r="AE93" s="4"/>
      <c r="AF93" s="4"/>
      <c r="AG93" s="4"/>
      <c r="AH93" s="9" t="s">
        <v>468</v>
      </c>
      <c r="AI93" s="9" t="s">
        <v>469</v>
      </c>
      <c r="AJ93" s="9" t="s">
        <v>470</v>
      </c>
      <c r="AK93" s="9" t="s">
        <v>30</v>
      </c>
      <c r="AL93" s="10"/>
      <c r="AM93" s="10" t="s">
        <v>471</v>
      </c>
      <c r="AN93" s="10"/>
      <c r="AO93" s="10" t="s">
        <v>472</v>
      </c>
      <c r="AP93" s="10"/>
      <c r="AQ93" s="11" t="s">
        <v>473</v>
      </c>
      <c r="AR93" s="4" t="s">
        <v>474</v>
      </c>
      <c r="AS93" s="10"/>
      <c r="AT93" s="10"/>
      <c r="AU93" s="10"/>
      <c r="AV93" s="10"/>
      <c r="AW93" s="10"/>
      <c r="AX93" s="10"/>
      <c r="AY93" s="10" t="s">
        <v>860</v>
      </c>
      <c r="AZ93" s="10"/>
      <c r="BA93" s="10"/>
      <c r="BB93" s="10"/>
      <c r="BC93" s="10" t="s">
        <v>464</v>
      </c>
      <c r="BD93" s="10" t="s">
        <v>465</v>
      </c>
    </row>
    <row r="94" spans="1:56" ht="75" x14ac:dyDescent="0.25">
      <c r="A94" s="4" t="s">
        <v>475</v>
      </c>
      <c r="B94" s="4" t="s">
        <v>1488</v>
      </c>
      <c r="C94" s="4" t="s">
        <v>66</v>
      </c>
      <c r="D94" s="4" t="s">
        <v>23</v>
      </c>
      <c r="E94" s="5" t="s">
        <v>34</v>
      </c>
      <c r="F94" s="4" t="s">
        <v>221</v>
      </c>
      <c r="G94" s="4" t="s">
        <v>35</v>
      </c>
      <c r="H94" s="62" t="s">
        <v>1016</v>
      </c>
      <c r="I94" s="12">
        <v>5.4</v>
      </c>
      <c r="J94" s="12">
        <v>5.4</v>
      </c>
      <c r="K94" s="12"/>
      <c r="L94" s="12">
        <v>1.41E-2</v>
      </c>
      <c r="M94" s="12">
        <v>1.41E-2</v>
      </c>
      <c r="N94" s="12"/>
      <c r="O94" s="12"/>
      <c r="P94" s="12"/>
      <c r="Q94" s="12"/>
      <c r="R94" s="12" t="s">
        <v>476</v>
      </c>
      <c r="S94" s="12">
        <v>30</v>
      </c>
      <c r="T94" s="12"/>
      <c r="U94" s="12">
        <v>3.3480000000000003</v>
      </c>
      <c r="V94" s="12">
        <v>3.3480000000000003</v>
      </c>
      <c r="W94" s="7"/>
      <c r="X94" s="12"/>
      <c r="Y94" s="7"/>
      <c r="Z94" s="7"/>
      <c r="AA94" s="7"/>
      <c r="AB94" s="7"/>
      <c r="AC94" s="7"/>
      <c r="AD94" s="4"/>
      <c r="AE94" s="4"/>
      <c r="AF94" s="4"/>
      <c r="AG94" s="4"/>
      <c r="AH94" s="9"/>
      <c r="AI94" s="9"/>
      <c r="AJ94" s="9"/>
      <c r="AK94" s="9" t="s">
        <v>30</v>
      </c>
      <c r="AL94" s="10"/>
      <c r="AM94" s="10"/>
      <c r="AN94" s="10"/>
      <c r="AO94" s="10"/>
      <c r="AP94" s="10"/>
      <c r="AQ94" s="11" t="s">
        <v>231</v>
      </c>
      <c r="AR94" s="4" t="s">
        <v>32</v>
      </c>
      <c r="AS94" s="10" t="s">
        <v>954</v>
      </c>
      <c r="AT94" s="10"/>
      <c r="AU94" s="10"/>
      <c r="AV94" s="10"/>
      <c r="AW94" s="10"/>
      <c r="AX94" s="10"/>
      <c r="AY94" s="10"/>
      <c r="AZ94" s="10"/>
      <c r="BA94" s="10"/>
      <c r="BB94" s="10"/>
      <c r="BC94" s="10"/>
      <c r="BD94" s="10" t="s">
        <v>1109</v>
      </c>
    </row>
    <row r="95" spans="1:56" ht="75" x14ac:dyDescent="0.25">
      <c r="A95" s="4" t="s">
        <v>972</v>
      </c>
      <c r="B95" s="4"/>
      <c r="C95" s="4" t="s">
        <v>139</v>
      </c>
      <c r="D95" s="4" t="s">
        <v>23</v>
      </c>
      <c r="E95" s="5" t="s">
        <v>34</v>
      </c>
      <c r="F95" s="6"/>
      <c r="G95" s="4" t="s">
        <v>67</v>
      </c>
      <c r="H95" s="4" t="s">
        <v>477</v>
      </c>
      <c r="I95" s="12"/>
      <c r="J95" s="12"/>
      <c r="K95" s="12"/>
      <c r="L95" s="12"/>
      <c r="M95" s="64"/>
      <c r="N95" s="12"/>
      <c r="O95" s="12"/>
      <c r="P95" s="12"/>
      <c r="Q95" s="12"/>
      <c r="R95" s="12"/>
      <c r="S95" s="12"/>
      <c r="T95" s="12"/>
      <c r="U95" s="12"/>
      <c r="V95" s="12"/>
      <c r="W95" s="7"/>
      <c r="X95" s="12"/>
      <c r="Y95" s="7"/>
      <c r="Z95" s="7"/>
      <c r="AA95" s="7"/>
      <c r="AB95" s="7"/>
      <c r="AC95" s="7"/>
      <c r="AD95" s="4"/>
      <c r="AE95" s="4"/>
      <c r="AF95" s="4"/>
      <c r="AG95" s="4"/>
      <c r="AH95" s="9" t="s">
        <v>478</v>
      </c>
      <c r="AI95" s="9"/>
      <c r="AJ95" s="9"/>
      <c r="AK95" s="9" t="s">
        <v>479</v>
      </c>
      <c r="AL95" s="10"/>
      <c r="AM95" s="10"/>
      <c r="AN95" s="10"/>
      <c r="AO95" s="10"/>
      <c r="AP95" s="10"/>
      <c r="AQ95" s="11">
        <v>1</v>
      </c>
      <c r="AR95" s="4"/>
      <c r="AS95" s="10" t="s">
        <v>858</v>
      </c>
      <c r="AT95" s="10"/>
      <c r="AU95" s="10"/>
      <c r="AV95" s="10"/>
      <c r="AW95" s="10"/>
      <c r="AX95" s="10"/>
      <c r="AY95" s="10"/>
      <c r="AZ95" s="10"/>
      <c r="BA95" s="10"/>
      <c r="BB95" s="10"/>
      <c r="BC95" s="10">
        <v>920</v>
      </c>
      <c r="BD95" s="10"/>
    </row>
    <row r="96" spans="1:56" ht="105" x14ac:dyDescent="0.25">
      <c r="A96" s="4" t="s">
        <v>967</v>
      </c>
      <c r="B96" s="4"/>
      <c r="C96" s="4" t="s">
        <v>46</v>
      </c>
      <c r="D96" s="4" t="s">
        <v>101</v>
      </c>
      <c r="E96" s="5" t="s">
        <v>24</v>
      </c>
      <c r="F96" s="4"/>
      <c r="G96" s="4" t="s">
        <v>35</v>
      </c>
      <c r="H96" s="62" t="s">
        <v>480</v>
      </c>
      <c r="I96" s="12" t="s">
        <v>751</v>
      </c>
      <c r="J96" s="12">
        <f>38</f>
        <v>38</v>
      </c>
      <c r="K96" s="12">
        <v>0.75</v>
      </c>
      <c r="L96" s="12" t="s">
        <v>752</v>
      </c>
      <c r="M96" s="64">
        <v>5.0999999999999997E-2</v>
      </c>
      <c r="N96" s="12">
        <v>0.75</v>
      </c>
      <c r="O96" s="12">
        <v>4.72</v>
      </c>
      <c r="P96" s="12">
        <f>technologies[[#This Row],[Power]]</f>
        <v>30</v>
      </c>
      <c r="Q96" s="12">
        <v>0.25</v>
      </c>
      <c r="R96" s="12" t="s">
        <v>1268</v>
      </c>
      <c r="S96" s="12">
        <v>30</v>
      </c>
      <c r="T96" s="12">
        <v>0.75</v>
      </c>
      <c r="U96" s="12">
        <v>23.56</v>
      </c>
      <c r="V96" s="12">
        <v>23.56</v>
      </c>
      <c r="W96" s="7"/>
      <c r="X96" s="12"/>
      <c r="Y96" s="7"/>
      <c r="Z96" s="7">
        <v>9</v>
      </c>
      <c r="AA96" s="7">
        <v>1</v>
      </c>
      <c r="AB96" s="4">
        <f>3150*24</f>
        <v>75600</v>
      </c>
      <c r="AC96" s="4">
        <v>0.25</v>
      </c>
      <c r="AD96" s="4"/>
      <c r="AE96" s="4">
        <v>0</v>
      </c>
      <c r="AF96" s="4"/>
      <c r="AG96" s="4">
        <v>0.25</v>
      </c>
      <c r="AH96" s="9"/>
      <c r="AI96" s="9"/>
      <c r="AJ96" s="9"/>
      <c r="AK96" s="9" t="s">
        <v>30</v>
      </c>
      <c r="AL96" s="10"/>
      <c r="AM96" s="10"/>
      <c r="AN96" s="10"/>
      <c r="AO96" s="10"/>
      <c r="AP96" s="10"/>
      <c r="AQ96" s="11" t="s">
        <v>481</v>
      </c>
      <c r="AR96" s="4"/>
      <c r="AS96" s="10" t="s">
        <v>872</v>
      </c>
      <c r="AT96" s="10"/>
      <c r="AU96" s="10"/>
      <c r="AV96" s="10"/>
      <c r="AW96" s="10"/>
      <c r="AX96" s="10"/>
      <c r="AY96" s="10"/>
      <c r="AZ96" s="10"/>
      <c r="BA96" s="10"/>
      <c r="BB96" s="10"/>
      <c r="BC96" s="10"/>
      <c r="BD96" s="10"/>
    </row>
    <row r="97" spans="1:56" ht="30" x14ac:dyDescent="0.25">
      <c r="A97" s="4" t="s">
        <v>968</v>
      </c>
      <c r="B97" s="4"/>
      <c r="C97" s="4" t="s">
        <v>22</v>
      </c>
      <c r="D97" s="4" t="s">
        <v>131</v>
      </c>
      <c r="E97" s="5" t="s">
        <v>34</v>
      </c>
      <c r="F97" s="6" t="s">
        <v>200</v>
      </c>
      <c r="G97" s="6" t="s">
        <v>26</v>
      </c>
      <c r="H97" s="4"/>
      <c r="I97" s="12">
        <v>61.054499999999997</v>
      </c>
      <c r="J97" s="12"/>
      <c r="K97" s="12"/>
      <c r="L97" s="12">
        <v>7.5614000000000001E-2</v>
      </c>
      <c r="M97" s="64"/>
      <c r="N97" s="12"/>
      <c r="O97" s="12"/>
      <c r="P97" s="12">
        <v>0</v>
      </c>
      <c r="Q97" s="12">
        <v>0.5</v>
      </c>
      <c r="R97" s="12"/>
      <c r="S97" s="12">
        <v>0</v>
      </c>
      <c r="T97" s="12">
        <v>0.5</v>
      </c>
      <c r="U97" s="12"/>
      <c r="V97" s="12"/>
      <c r="W97" s="7"/>
      <c r="X97" s="12"/>
      <c r="Y97" s="7"/>
      <c r="Z97" s="7">
        <v>9</v>
      </c>
      <c r="AA97" s="7">
        <v>0.75</v>
      </c>
      <c r="AB97" s="7">
        <v>38000</v>
      </c>
      <c r="AC97" s="7"/>
      <c r="AD97" s="4"/>
      <c r="AE97" s="4"/>
      <c r="AF97" s="4"/>
      <c r="AG97" s="4"/>
      <c r="AH97" s="9"/>
      <c r="AI97" s="9" t="s">
        <v>482</v>
      </c>
      <c r="AJ97" s="9"/>
      <c r="AK97" s="9" t="s">
        <v>30</v>
      </c>
      <c r="AL97" s="10"/>
      <c r="AM97" s="10"/>
      <c r="AN97" s="10"/>
      <c r="AO97" s="10"/>
      <c r="AP97" s="10"/>
      <c r="AQ97" s="11">
        <v>10</v>
      </c>
      <c r="AR97" s="4" t="s">
        <v>32</v>
      </c>
      <c r="AS97" s="10" t="s">
        <v>874</v>
      </c>
      <c r="AT97" s="10"/>
      <c r="AU97" s="10"/>
      <c r="AV97" s="10"/>
      <c r="AW97" s="10"/>
      <c r="AX97" s="10"/>
      <c r="AY97" s="10"/>
      <c r="AZ97" s="10"/>
      <c r="BA97" s="10"/>
      <c r="BB97" s="10"/>
      <c r="BC97" s="10"/>
      <c r="BD97" s="10"/>
    </row>
    <row r="98" spans="1:56" ht="90" x14ac:dyDescent="0.25">
      <c r="A98" s="4" t="s">
        <v>970</v>
      </c>
      <c r="B98" s="4" t="s">
        <v>1489</v>
      </c>
      <c r="C98" s="4" t="s">
        <v>22</v>
      </c>
      <c r="D98" s="4" t="s">
        <v>62</v>
      </c>
      <c r="E98" s="5" t="s">
        <v>34</v>
      </c>
      <c r="F98" s="4"/>
      <c r="G98" s="4" t="s">
        <v>35</v>
      </c>
      <c r="H98" s="62" t="s">
        <v>1017</v>
      </c>
      <c r="I98" s="12" t="s">
        <v>753</v>
      </c>
      <c r="J98" s="12"/>
      <c r="K98" s="12"/>
      <c r="L98" s="12">
        <v>5.8700000000000002E-2</v>
      </c>
      <c r="M98" s="64"/>
      <c r="N98" s="12"/>
      <c r="O98" s="12">
        <v>270</v>
      </c>
      <c r="P98" s="12"/>
      <c r="Q98" s="12"/>
      <c r="R98" s="12">
        <v>702</v>
      </c>
      <c r="S98" s="12"/>
      <c r="T98" s="12"/>
      <c r="U98" s="12"/>
      <c r="V98" s="12"/>
      <c r="W98" s="7"/>
      <c r="X98" s="12"/>
      <c r="Y98" s="7"/>
      <c r="Z98" s="7">
        <v>4</v>
      </c>
      <c r="AA98" s="7">
        <v>0.25</v>
      </c>
      <c r="AB98" s="7">
        <f>10*365*24</f>
        <v>87600</v>
      </c>
      <c r="AC98" s="7"/>
      <c r="AD98" s="4"/>
      <c r="AE98" s="4"/>
      <c r="AF98" s="4"/>
      <c r="AG98" s="4"/>
      <c r="AH98" s="9" t="s">
        <v>483</v>
      </c>
      <c r="AI98" s="9" t="s">
        <v>484</v>
      </c>
      <c r="AJ98" s="9"/>
      <c r="AK98" s="9" t="s">
        <v>30</v>
      </c>
      <c r="AL98" s="10" t="s">
        <v>485</v>
      </c>
      <c r="AM98" s="10"/>
      <c r="AN98" s="10"/>
      <c r="AO98" s="10" t="s">
        <v>486</v>
      </c>
      <c r="AP98" s="10" t="s">
        <v>487</v>
      </c>
      <c r="AQ98" s="11" t="s">
        <v>488</v>
      </c>
      <c r="AR98" s="4"/>
      <c r="AS98" s="10"/>
      <c r="AT98" s="10"/>
      <c r="AU98" s="10"/>
      <c r="AV98" s="10" t="s">
        <v>857</v>
      </c>
      <c r="AW98" s="10" t="s">
        <v>903</v>
      </c>
      <c r="AX98" s="10" t="s">
        <v>905</v>
      </c>
      <c r="AY98" s="10"/>
      <c r="AZ98" s="10"/>
      <c r="BA98" s="10"/>
      <c r="BB98" s="10"/>
      <c r="BC98" s="10">
        <v>293</v>
      </c>
      <c r="BD98" s="10">
        <v>101</v>
      </c>
    </row>
    <row r="99" spans="1:56" ht="90" x14ac:dyDescent="0.25">
      <c r="A99" s="4" t="s">
        <v>971</v>
      </c>
      <c r="B99" s="4"/>
      <c r="C99" s="4" t="s">
        <v>139</v>
      </c>
      <c r="D99" s="4" t="s">
        <v>23</v>
      </c>
      <c r="E99" s="5" t="s">
        <v>34</v>
      </c>
      <c r="F99" s="4"/>
      <c r="G99" s="4" t="s">
        <v>35</v>
      </c>
      <c r="H99" s="62" t="s">
        <v>489</v>
      </c>
      <c r="I99" s="12"/>
      <c r="J99" s="12"/>
      <c r="K99" s="12"/>
      <c r="L99" s="12"/>
      <c r="M99" s="64"/>
      <c r="N99" s="12"/>
      <c r="O99" s="12"/>
      <c r="P99" s="12"/>
      <c r="Q99" s="12"/>
      <c r="R99" s="12"/>
      <c r="S99" s="12"/>
      <c r="T99" s="12"/>
      <c r="U99" s="12"/>
      <c r="V99" s="12"/>
      <c r="W99" s="7"/>
      <c r="X99" s="12"/>
      <c r="Y99" s="7">
        <v>4</v>
      </c>
      <c r="Z99" s="7"/>
      <c r="AA99" s="7"/>
      <c r="AB99" s="7"/>
      <c r="AC99" s="7"/>
      <c r="AD99" s="4"/>
      <c r="AE99" s="4"/>
      <c r="AF99" s="4"/>
      <c r="AG99" s="4"/>
      <c r="AH99" s="9" t="s">
        <v>492</v>
      </c>
      <c r="AI99" s="9" t="s">
        <v>493</v>
      </c>
      <c r="AJ99" s="9"/>
      <c r="AK99" s="9" t="s">
        <v>494</v>
      </c>
      <c r="AL99" s="10"/>
      <c r="AM99" s="10"/>
      <c r="AN99" s="10"/>
      <c r="AO99" s="10"/>
      <c r="AP99" s="10"/>
      <c r="AQ99" s="11" t="s">
        <v>144</v>
      </c>
      <c r="AR99" s="4"/>
      <c r="AS99" s="10" t="s">
        <v>879</v>
      </c>
      <c r="AT99" s="10"/>
      <c r="AU99" s="10"/>
      <c r="AV99" s="10"/>
      <c r="AW99" s="10"/>
      <c r="AX99" s="10"/>
      <c r="AY99" s="10"/>
      <c r="AZ99" s="10"/>
      <c r="BA99" s="10"/>
      <c r="BB99" s="10"/>
      <c r="BC99" s="10" t="s">
        <v>490</v>
      </c>
      <c r="BD99" s="10" t="s">
        <v>491</v>
      </c>
    </row>
    <row r="100" spans="1:56" ht="45" x14ac:dyDescent="0.25">
      <c r="A100" s="4" t="s">
        <v>969</v>
      </c>
      <c r="B100" s="4"/>
      <c r="C100" s="4" t="s">
        <v>70</v>
      </c>
      <c r="D100" s="4" t="s">
        <v>23</v>
      </c>
      <c r="E100" s="5" t="s">
        <v>34</v>
      </c>
      <c r="F100" s="4"/>
      <c r="G100" s="4" t="s">
        <v>35</v>
      </c>
      <c r="H100" s="4" t="s">
        <v>1018</v>
      </c>
      <c r="I100" s="12">
        <v>9.8000000000000007</v>
      </c>
      <c r="J100" s="12">
        <f>technologies[[#This Row],[Mass
Literature]]/6</f>
        <v>1.6333333333333335</v>
      </c>
      <c r="K100" s="12">
        <v>0.75</v>
      </c>
      <c r="L100" s="12">
        <v>0.02</v>
      </c>
      <c r="M100" s="64">
        <f>technologies[[#This Row],[Volume
Literature]]/6</f>
        <v>3.3333333333333335E-3</v>
      </c>
      <c r="N100" s="12">
        <v>0.75</v>
      </c>
      <c r="O100" s="12">
        <v>61</v>
      </c>
      <c r="P100" s="12">
        <f>technologies[[#This Row],[Heat Generated
Literature]]/6</f>
        <v>10.166666666666666</v>
      </c>
      <c r="Q100" s="12">
        <v>0.75</v>
      </c>
      <c r="R100" s="12">
        <v>61</v>
      </c>
      <c r="S100" s="12">
        <f>technologies[[#This Row],[Power required
Literature]]/6</f>
        <v>10.166666666666666</v>
      </c>
      <c r="T100" s="12">
        <v>0.75</v>
      </c>
      <c r="U100" s="12">
        <v>1.0126666666666668</v>
      </c>
      <c r="V100" s="12">
        <v>1.0126666666666668</v>
      </c>
      <c r="W100" s="7"/>
      <c r="X100" s="12"/>
      <c r="Y100" s="7"/>
      <c r="Z100" s="7">
        <v>9</v>
      </c>
      <c r="AA100" s="7">
        <v>0.75</v>
      </c>
      <c r="AB100" s="7"/>
      <c r="AC100" s="7"/>
      <c r="AD100" s="4"/>
      <c r="AE100" s="4"/>
      <c r="AF100" s="4"/>
      <c r="AG100" s="4"/>
      <c r="AH100" s="9"/>
      <c r="AI100" s="9"/>
      <c r="AJ100" s="9"/>
      <c r="AK100" s="9" t="s">
        <v>30</v>
      </c>
      <c r="AL100" s="10"/>
      <c r="AM100" s="10"/>
      <c r="AN100" s="10"/>
      <c r="AO100" s="10"/>
      <c r="AP100" s="10"/>
      <c r="AQ100" s="11">
        <v>14</v>
      </c>
      <c r="AR100" s="4"/>
      <c r="AS100" s="10" t="s">
        <v>891</v>
      </c>
      <c r="AT100" s="10"/>
      <c r="AU100" s="10"/>
      <c r="AV100" s="10"/>
      <c r="AW100" s="10"/>
      <c r="AX100" s="10"/>
      <c r="AY100" s="10"/>
      <c r="AZ100" s="10"/>
      <c r="BA100" s="10"/>
      <c r="BB100" s="10"/>
      <c r="BC100" s="10"/>
      <c r="BD100" s="10"/>
    </row>
    <row r="101" spans="1:56" ht="45" x14ac:dyDescent="0.25">
      <c r="A101" s="4" t="s">
        <v>495</v>
      </c>
      <c r="B101" s="4"/>
      <c r="C101" s="4" t="s">
        <v>46</v>
      </c>
      <c r="D101" s="4" t="s">
        <v>23</v>
      </c>
      <c r="E101" s="5" t="s">
        <v>34</v>
      </c>
      <c r="F101" s="6" t="s">
        <v>48</v>
      </c>
      <c r="G101" s="4" t="s">
        <v>67</v>
      </c>
      <c r="H101" s="4" t="s">
        <v>1018</v>
      </c>
      <c r="I101" s="12">
        <v>4.55</v>
      </c>
      <c r="J101" s="12"/>
      <c r="K101" s="12"/>
      <c r="L101" s="12">
        <v>0.02</v>
      </c>
      <c r="M101" s="64"/>
      <c r="N101" s="12"/>
      <c r="O101" s="12">
        <v>4</v>
      </c>
      <c r="P101" s="12"/>
      <c r="Q101" s="12"/>
      <c r="R101" s="12">
        <v>4</v>
      </c>
      <c r="S101" s="12"/>
      <c r="T101" s="12"/>
      <c r="U101" s="12"/>
      <c r="V101" s="12"/>
      <c r="W101" s="7"/>
      <c r="X101" s="12"/>
      <c r="Y101" s="7"/>
      <c r="Z101" s="7">
        <v>9</v>
      </c>
      <c r="AA101" s="7"/>
      <c r="AB101" s="7"/>
      <c r="AC101" s="7"/>
      <c r="AD101" s="4"/>
      <c r="AE101" s="4"/>
      <c r="AF101" s="4"/>
      <c r="AG101" s="4"/>
      <c r="AH101" s="9"/>
      <c r="AI101" s="9"/>
      <c r="AJ101" s="9"/>
      <c r="AK101" s="9" t="s">
        <v>30</v>
      </c>
      <c r="AL101" s="10"/>
      <c r="AM101" s="10"/>
      <c r="AN101" s="10"/>
      <c r="AO101" s="10"/>
      <c r="AP101" s="10"/>
      <c r="AQ101" s="11">
        <v>14</v>
      </c>
      <c r="AR101" s="4" t="s">
        <v>32</v>
      </c>
      <c r="AS101" s="10" t="s">
        <v>875</v>
      </c>
      <c r="AT101" s="10" t="s">
        <v>878</v>
      </c>
      <c r="AU101" s="10"/>
      <c r="AV101" s="10"/>
      <c r="AW101" s="10"/>
      <c r="AX101" s="10"/>
      <c r="AY101" s="10"/>
      <c r="AZ101" s="10"/>
      <c r="BA101" s="10"/>
      <c r="BB101" s="10"/>
      <c r="BC101" s="10"/>
      <c r="BD101" s="10"/>
    </row>
    <row r="102" spans="1:56" ht="90" x14ac:dyDescent="0.25">
      <c r="A102" s="4" t="s">
        <v>496</v>
      </c>
      <c r="B102" s="4"/>
      <c r="C102" s="4" t="s">
        <v>46</v>
      </c>
      <c r="D102" s="4" t="s">
        <v>23</v>
      </c>
      <c r="E102" s="5" t="s">
        <v>34</v>
      </c>
      <c r="F102" s="6"/>
      <c r="G102" s="4" t="s">
        <v>67</v>
      </c>
      <c r="H102" s="4" t="s">
        <v>1019</v>
      </c>
      <c r="I102" s="12" t="s">
        <v>1020</v>
      </c>
      <c r="J102" s="12"/>
      <c r="K102" s="12"/>
      <c r="L102" s="12" t="s">
        <v>1108</v>
      </c>
      <c r="M102" s="64"/>
      <c r="N102" s="12"/>
      <c r="O102" s="12" t="s">
        <v>497</v>
      </c>
      <c r="P102" s="12"/>
      <c r="Q102" s="12"/>
      <c r="R102" s="12" t="s">
        <v>498</v>
      </c>
      <c r="S102" s="12"/>
      <c r="T102" s="12"/>
      <c r="U102" s="12"/>
      <c r="V102" s="12"/>
      <c r="W102" s="7"/>
      <c r="X102" s="12"/>
      <c r="Y102" s="7" t="s">
        <v>499</v>
      </c>
      <c r="Z102" s="7"/>
      <c r="AA102" s="7"/>
      <c r="AB102" s="7"/>
      <c r="AC102" s="7"/>
      <c r="AD102" s="4"/>
      <c r="AE102" s="4"/>
      <c r="AF102" s="4"/>
      <c r="AG102" s="4"/>
      <c r="AH102" s="9"/>
      <c r="AI102" s="9"/>
      <c r="AJ102" s="9"/>
      <c r="AK102" s="9" t="s">
        <v>30</v>
      </c>
      <c r="AL102" s="10"/>
      <c r="AM102" s="10"/>
      <c r="AN102" s="10"/>
      <c r="AO102" s="10"/>
      <c r="AP102" s="10"/>
      <c r="AQ102" s="11" t="s">
        <v>500</v>
      </c>
      <c r="AR102" s="4" t="s">
        <v>32</v>
      </c>
      <c r="AS102" s="10" t="s">
        <v>872</v>
      </c>
      <c r="AT102" s="10" t="s">
        <v>861</v>
      </c>
      <c r="AU102" s="10"/>
      <c r="AV102" s="10"/>
      <c r="AW102" s="10"/>
      <c r="AX102" s="10"/>
      <c r="AY102" s="10"/>
      <c r="AZ102" s="10" t="s">
        <v>858</v>
      </c>
      <c r="BA102" s="10"/>
      <c r="BB102" s="10"/>
      <c r="BC102" s="10"/>
      <c r="BD102" s="10"/>
    </row>
    <row r="103" spans="1:56" ht="45" x14ac:dyDescent="0.25">
      <c r="A103" s="4" t="s">
        <v>1251</v>
      </c>
      <c r="B103" s="4" t="s">
        <v>1508</v>
      </c>
      <c r="C103" s="4" t="s">
        <v>46</v>
      </c>
      <c r="D103" s="4" t="s">
        <v>23</v>
      </c>
      <c r="E103" s="5" t="s">
        <v>34</v>
      </c>
      <c r="F103" s="4"/>
      <c r="G103" s="4" t="s">
        <v>35</v>
      </c>
      <c r="H103" s="4" t="s">
        <v>1018</v>
      </c>
      <c r="I103" s="12">
        <v>582.41999999999996</v>
      </c>
      <c r="J103" s="12"/>
      <c r="K103" s="12"/>
      <c r="L103" s="12">
        <v>2.02</v>
      </c>
      <c r="M103" s="64"/>
      <c r="N103" s="12"/>
      <c r="O103" s="12">
        <v>2831.45</v>
      </c>
      <c r="P103" s="12"/>
      <c r="Q103" s="12"/>
      <c r="R103" s="12">
        <v>2831.45</v>
      </c>
      <c r="S103" s="12"/>
      <c r="T103" s="12"/>
      <c r="U103" s="12"/>
      <c r="V103" s="12"/>
      <c r="W103" s="7"/>
      <c r="X103" s="12"/>
      <c r="Y103" s="7" t="s">
        <v>502</v>
      </c>
      <c r="Z103" s="7">
        <v>4</v>
      </c>
      <c r="AA103" s="7"/>
      <c r="AB103" s="7"/>
      <c r="AC103" s="7"/>
      <c r="AD103" s="4" t="s">
        <v>501</v>
      </c>
      <c r="AE103" s="13">
        <f>180/365</f>
        <v>0.49315068493150682</v>
      </c>
      <c r="AF103" s="13"/>
      <c r="AG103" s="4"/>
      <c r="AH103" s="9" t="s">
        <v>502</v>
      </c>
      <c r="AI103" s="9" t="s">
        <v>502</v>
      </c>
      <c r="AJ103" s="9"/>
      <c r="AK103" s="9" t="s">
        <v>30</v>
      </c>
      <c r="AL103" s="10"/>
      <c r="AM103" s="10"/>
      <c r="AN103" s="10"/>
      <c r="AO103" s="10"/>
      <c r="AP103" s="10"/>
      <c r="AQ103" s="11">
        <v>14</v>
      </c>
      <c r="AR103" s="4"/>
      <c r="AS103" s="10" t="s">
        <v>861</v>
      </c>
      <c r="AT103" s="10"/>
      <c r="AU103" s="10"/>
      <c r="AV103" s="10"/>
      <c r="AW103" s="10"/>
      <c r="AX103" s="10"/>
      <c r="AY103" s="10" t="s">
        <v>860</v>
      </c>
      <c r="AZ103" s="10"/>
      <c r="BA103" s="10"/>
      <c r="BB103" s="10"/>
      <c r="BC103" s="10"/>
      <c r="BD103" s="10"/>
    </row>
    <row r="104" spans="1:56" ht="30" x14ac:dyDescent="0.25">
      <c r="A104" s="4" t="s">
        <v>503</v>
      </c>
      <c r="B104" s="4"/>
      <c r="C104" s="4" t="s">
        <v>46</v>
      </c>
      <c r="D104" s="4" t="s">
        <v>101</v>
      </c>
      <c r="E104" s="5" t="s">
        <v>34</v>
      </c>
      <c r="F104" s="6"/>
      <c r="G104" s="6" t="s">
        <v>26</v>
      </c>
      <c r="H104" s="4" t="s">
        <v>1018</v>
      </c>
      <c r="I104" s="12">
        <v>8.67</v>
      </c>
      <c r="J104" s="12">
        <f>technologies[[#This Row],[Mass
Literature]]/6</f>
        <v>1.4450000000000001</v>
      </c>
      <c r="K104" s="12">
        <v>0.75</v>
      </c>
      <c r="L104" s="12">
        <v>0.02</v>
      </c>
      <c r="M104" s="64">
        <f>technologies[[#This Row],[Volume
Literature]]/6</f>
        <v>3.3333333333333335E-3</v>
      </c>
      <c r="N104" s="12">
        <v>0.75</v>
      </c>
      <c r="O104" s="12">
        <v>0</v>
      </c>
      <c r="P104" s="12">
        <v>0</v>
      </c>
      <c r="Q104" s="12">
        <v>0.75</v>
      </c>
      <c r="R104" s="12">
        <v>0</v>
      </c>
      <c r="S104" s="12">
        <v>0</v>
      </c>
      <c r="T104" s="12">
        <v>0.75</v>
      </c>
      <c r="U104" s="12"/>
      <c r="V104" s="12"/>
      <c r="W104" s="7"/>
      <c r="X104" s="12"/>
      <c r="Y104" s="7">
        <v>9</v>
      </c>
      <c r="Z104" s="7">
        <v>9</v>
      </c>
      <c r="AA104" s="7">
        <v>0.75</v>
      </c>
      <c r="AB104" s="8">
        <f>1/(6.97*10^-6)</f>
        <v>143472.02295552369</v>
      </c>
      <c r="AC104" s="7">
        <v>0.75</v>
      </c>
      <c r="AD104" s="4"/>
      <c r="AE104" s="4"/>
      <c r="AF104" s="4"/>
      <c r="AG104" s="4"/>
      <c r="AH104" s="9"/>
      <c r="AI104" s="9"/>
      <c r="AJ104" s="9"/>
      <c r="AK104" s="9" t="s">
        <v>30</v>
      </c>
      <c r="AL104" s="10"/>
      <c r="AM104" s="10"/>
      <c r="AN104" s="10"/>
      <c r="AO104" s="10"/>
      <c r="AP104" s="10"/>
      <c r="AQ104" s="11" t="s">
        <v>504</v>
      </c>
      <c r="AR104" s="4"/>
      <c r="AS104" s="10" t="s">
        <v>871</v>
      </c>
      <c r="AT104" s="10"/>
      <c r="AU104" s="10"/>
      <c r="AV104" s="10"/>
      <c r="AW104" s="10"/>
      <c r="AX104" s="10"/>
      <c r="AY104" s="10"/>
      <c r="AZ104" s="10"/>
      <c r="BA104" s="10"/>
      <c r="BB104" s="10"/>
      <c r="BC104" s="10"/>
      <c r="BD104" s="10"/>
    </row>
    <row r="105" spans="1:56" ht="60" x14ac:dyDescent="0.25">
      <c r="A105" s="4" t="s">
        <v>505</v>
      </c>
      <c r="B105" s="4"/>
      <c r="C105" s="4" t="s">
        <v>186</v>
      </c>
      <c r="D105" s="4" t="s">
        <v>131</v>
      </c>
      <c r="E105" s="5" t="s">
        <v>24</v>
      </c>
      <c r="F105" s="6"/>
      <c r="G105" s="4" t="s">
        <v>26</v>
      </c>
      <c r="H105" s="62" t="s">
        <v>506</v>
      </c>
      <c r="I105" s="12"/>
      <c r="J105" s="12"/>
      <c r="K105" s="12"/>
      <c r="L105" s="12"/>
      <c r="M105" s="64"/>
      <c r="N105" s="12"/>
      <c r="O105" s="12"/>
      <c r="P105" s="12"/>
      <c r="Q105" s="12"/>
      <c r="R105" s="12"/>
      <c r="S105" s="12"/>
      <c r="T105" s="12"/>
      <c r="U105" s="12"/>
      <c r="V105" s="12"/>
      <c r="W105" s="7"/>
      <c r="X105" s="12"/>
      <c r="Y105" s="7"/>
      <c r="Z105" s="7"/>
      <c r="AA105" s="7"/>
      <c r="AB105" s="7"/>
      <c r="AC105" s="7"/>
      <c r="AD105" s="4"/>
      <c r="AE105" s="4"/>
      <c r="AF105" s="4"/>
      <c r="AG105" s="4"/>
      <c r="AH105" s="9"/>
      <c r="AI105" s="9"/>
      <c r="AJ105" s="9"/>
      <c r="AK105" s="9" t="s">
        <v>30</v>
      </c>
      <c r="AL105" s="10"/>
      <c r="AM105" s="10"/>
      <c r="AN105" s="10"/>
      <c r="AO105" s="10"/>
      <c r="AP105" s="10"/>
      <c r="AQ105" s="11"/>
      <c r="AR105" s="4" t="s">
        <v>507</v>
      </c>
      <c r="AS105" s="10" t="s">
        <v>958</v>
      </c>
      <c r="AT105" s="10"/>
      <c r="AU105" s="10"/>
      <c r="AV105" s="10"/>
      <c r="AW105" s="10"/>
      <c r="AX105" s="10"/>
      <c r="AY105" s="10"/>
      <c r="AZ105" s="10"/>
      <c r="BA105" s="10"/>
      <c r="BB105" s="10"/>
      <c r="BC105" s="10"/>
      <c r="BD105" s="10"/>
    </row>
    <row r="106" spans="1:56" ht="30" x14ac:dyDescent="0.25">
      <c r="A106" s="4" t="s">
        <v>508</v>
      </c>
      <c r="B106" s="4"/>
      <c r="C106" s="4" t="s">
        <v>186</v>
      </c>
      <c r="D106" s="4" t="s">
        <v>23</v>
      </c>
      <c r="E106" s="5" t="s">
        <v>34</v>
      </c>
      <c r="F106" s="6"/>
      <c r="G106" s="4" t="s">
        <v>26</v>
      </c>
      <c r="H106" s="4" t="s">
        <v>1022</v>
      </c>
      <c r="I106" s="12">
        <v>50</v>
      </c>
      <c r="J106" s="12">
        <v>50</v>
      </c>
      <c r="K106" s="12"/>
      <c r="L106" s="12">
        <v>0.25</v>
      </c>
      <c r="M106" s="12">
        <v>0.25</v>
      </c>
      <c r="N106" s="12"/>
      <c r="O106" s="12"/>
      <c r="P106" s="12"/>
      <c r="Q106" s="12"/>
      <c r="R106" s="12">
        <v>2500</v>
      </c>
      <c r="S106" s="12">
        <v>2500</v>
      </c>
      <c r="T106" s="12"/>
      <c r="U106" s="12"/>
      <c r="V106" s="12"/>
      <c r="W106" s="7"/>
      <c r="X106" s="12"/>
      <c r="Y106" s="7"/>
      <c r="Z106" s="7"/>
      <c r="AA106" s="7"/>
      <c r="AB106" s="7"/>
      <c r="AC106" s="7"/>
      <c r="AD106" s="4"/>
      <c r="AE106" s="4"/>
      <c r="AF106" s="4"/>
      <c r="AG106" s="4"/>
      <c r="AH106" s="9"/>
      <c r="AI106" s="9"/>
      <c r="AJ106" s="9"/>
      <c r="AK106" s="9" t="s">
        <v>30</v>
      </c>
      <c r="AL106" s="10"/>
      <c r="AM106" s="10"/>
      <c r="AN106" s="10"/>
      <c r="AO106" s="10"/>
      <c r="AP106" s="10"/>
      <c r="AQ106" s="11">
        <v>9</v>
      </c>
      <c r="AR106" s="4"/>
      <c r="AS106" s="10" t="s">
        <v>959</v>
      </c>
      <c r="AT106" s="10"/>
      <c r="AU106" s="10"/>
      <c r="AV106" s="10"/>
      <c r="AW106" s="10"/>
      <c r="AX106" s="10"/>
      <c r="AY106" s="10"/>
      <c r="AZ106" s="10"/>
      <c r="BA106" s="10"/>
      <c r="BB106" s="10"/>
      <c r="BC106" s="10"/>
      <c r="BD106" s="10"/>
    </row>
    <row r="107" spans="1:56" ht="30" x14ac:dyDescent="0.25">
      <c r="A107" s="4" t="s">
        <v>509</v>
      </c>
      <c r="B107" s="4"/>
      <c r="C107" s="4" t="s">
        <v>186</v>
      </c>
      <c r="D107" s="4" t="s">
        <v>23</v>
      </c>
      <c r="E107" s="5" t="s">
        <v>34</v>
      </c>
      <c r="F107" s="6"/>
      <c r="G107" s="4" t="s">
        <v>26</v>
      </c>
      <c r="H107" s="4" t="s">
        <v>1022</v>
      </c>
      <c r="I107" s="12">
        <v>70</v>
      </c>
      <c r="J107" s="12">
        <v>70</v>
      </c>
      <c r="K107" s="12"/>
      <c r="L107" s="12">
        <v>0.3</v>
      </c>
      <c r="M107" s="12">
        <v>0.3</v>
      </c>
      <c r="N107" s="12"/>
      <c r="O107" s="12"/>
      <c r="P107" s="12"/>
      <c r="Q107" s="12"/>
      <c r="R107" s="12">
        <v>1800</v>
      </c>
      <c r="S107" s="12">
        <v>1800</v>
      </c>
      <c r="T107" s="12"/>
      <c r="U107" s="12"/>
      <c r="V107" s="12"/>
      <c r="W107" s="7"/>
      <c r="X107" s="12"/>
      <c r="Y107" s="7">
        <v>4</v>
      </c>
      <c r="Z107" s="7"/>
      <c r="AA107" s="7"/>
      <c r="AB107" s="7"/>
      <c r="AC107" s="7"/>
      <c r="AD107" s="4"/>
      <c r="AE107" s="4"/>
      <c r="AF107" s="4"/>
      <c r="AG107" s="4"/>
      <c r="AH107" s="9"/>
      <c r="AI107" s="9"/>
      <c r="AJ107" s="9"/>
      <c r="AK107" s="9" t="s">
        <v>30</v>
      </c>
      <c r="AL107" s="10"/>
      <c r="AM107" s="10"/>
      <c r="AN107" s="10"/>
      <c r="AO107" s="10"/>
      <c r="AP107" s="10"/>
      <c r="AQ107" s="11" t="s">
        <v>510</v>
      </c>
      <c r="AR107" s="4"/>
      <c r="AS107" s="10" t="s">
        <v>959</v>
      </c>
      <c r="AT107" s="10"/>
      <c r="AU107" s="10"/>
      <c r="AV107" s="10"/>
      <c r="AW107" s="10"/>
      <c r="AX107" s="10"/>
      <c r="AY107" s="10"/>
      <c r="AZ107" s="10"/>
      <c r="BA107" s="10"/>
      <c r="BB107" s="10"/>
      <c r="BC107" s="10"/>
      <c r="BD107" s="10"/>
    </row>
    <row r="108" spans="1:56" ht="30" x14ac:dyDescent="0.25">
      <c r="A108" s="4" t="s">
        <v>511</v>
      </c>
      <c r="B108" s="4"/>
      <c r="C108" s="4" t="s">
        <v>46</v>
      </c>
      <c r="D108" s="4" t="s">
        <v>23</v>
      </c>
      <c r="E108" s="5" t="s">
        <v>34</v>
      </c>
      <c r="F108" s="6"/>
      <c r="G108" s="4" t="s">
        <v>26</v>
      </c>
      <c r="H108" s="4" t="s">
        <v>1022</v>
      </c>
      <c r="I108" s="12">
        <v>40</v>
      </c>
      <c r="J108" s="12">
        <v>40</v>
      </c>
      <c r="K108" s="12"/>
      <c r="L108" s="12">
        <v>0.56000000000000005</v>
      </c>
      <c r="M108" s="64"/>
      <c r="N108" s="12"/>
      <c r="O108" s="12"/>
      <c r="P108" s="12"/>
      <c r="Q108" s="12"/>
      <c r="R108" s="12">
        <v>1200</v>
      </c>
      <c r="S108" s="12">
        <v>1200</v>
      </c>
      <c r="T108" s="12"/>
      <c r="U108" s="12"/>
      <c r="V108" s="12"/>
      <c r="W108" s="7"/>
      <c r="X108" s="12"/>
      <c r="Y108" s="7"/>
      <c r="Z108" s="7"/>
      <c r="AA108" s="7"/>
      <c r="AB108" s="7"/>
      <c r="AC108" s="7"/>
      <c r="AD108" s="4"/>
      <c r="AE108" s="4"/>
      <c r="AF108" s="4"/>
      <c r="AG108" s="4"/>
      <c r="AH108" s="9"/>
      <c r="AI108" s="9"/>
      <c r="AJ108" s="9"/>
      <c r="AK108" s="9" t="s">
        <v>30</v>
      </c>
      <c r="AL108" s="10"/>
      <c r="AM108" s="10"/>
      <c r="AN108" s="10"/>
      <c r="AO108" s="10"/>
      <c r="AP108" s="10"/>
      <c r="AQ108" s="11">
        <v>9</v>
      </c>
      <c r="AR108" s="4"/>
      <c r="AS108" s="10"/>
      <c r="AT108" s="10"/>
      <c r="AU108" s="10"/>
      <c r="AV108" s="10"/>
      <c r="AW108" s="10"/>
      <c r="AX108" s="10"/>
      <c r="AY108" s="10"/>
      <c r="AZ108" s="10"/>
      <c r="BA108" s="10"/>
      <c r="BB108" s="10"/>
      <c r="BC108" s="10"/>
      <c r="BD108" s="10"/>
    </row>
    <row r="109" spans="1:56" ht="45" x14ac:dyDescent="0.25">
      <c r="A109" s="4" t="s">
        <v>512</v>
      </c>
      <c r="B109" s="4"/>
      <c r="C109" s="4" t="s">
        <v>139</v>
      </c>
      <c r="D109" s="4" t="s">
        <v>23</v>
      </c>
      <c r="E109" s="5" t="s">
        <v>34</v>
      </c>
      <c r="F109" s="6"/>
      <c r="G109" s="4" t="s">
        <v>26</v>
      </c>
      <c r="H109" s="4" t="s">
        <v>1023</v>
      </c>
      <c r="I109" s="12" t="s">
        <v>513</v>
      </c>
      <c r="J109" s="12">
        <v>90</v>
      </c>
      <c r="K109" s="12"/>
      <c r="L109" s="12" t="s">
        <v>1203</v>
      </c>
      <c r="M109" s="64">
        <v>4.3600000000000003</v>
      </c>
      <c r="N109" s="12"/>
      <c r="O109" s="12"/>
      <c r="P109" s="12"/>
      <c r="Q109" s="12"/>
      <c r="R109" s="12" t="s">
        <v>514</v>
      </c>
      <c r="S109" s="12">
        <v>180</v>
      </c>
      <c r="T109" s="12"/>
      <c r="U109" s="12"/>
      <c r="V109" s="12"/>
      <c r="W109" s="7"/>
      <c r="X109" s="12"/>
      <c r="Y109" s="7" t="s">
        <v>515</v>
      </c>
      <c r="Z109" s="7"/>
      <c r="AA109" s="7"/>
      <c r="AB109" s="7"/>
      <c r="AC109" s="7"/>
      <c r="AD109" s="4"/>
      <c r="AE109" s="4"/>
      <c r="AF109" s="4"/>
      <c r="AG109" s="4"/>
      <c r="AH109" s="9"/>
      <c r="AI109" s="9"/>
      <c r="AJ109" s="9"/>
      <c r="AK109" s="9" t="s">
        <v>30</v>
      </c>
      <c r="AL109" s="10"/>
      <c r="AM109" s="10"/>
      <c r="AN109" s="10"/>
      <c r="AO109" s="10"/>
      <c r="AP109" s="10"/>
      <c r="AQ109" s="11" t="s">
        <v>516</v>
      </c>
      <c r="AR109" s="4"/>
      <c r="AS109" s="10" t="s">
        <v>875</v>
      </c>
      <c r="AT109" s="10" t="s">
        <v>878</v>
      </c>
      <c r="AU109" s="10"/>
      <c r="AV109" s="10"/>
      <c r="AW109" s="10"/>
      <c r="AX109" s="10"/>
      <c r="AY109" s="10"/>
      <c r="AZ109" s="10"/>
      <c r="BA109" s="10"/>
      <c r="BB109" s="10"/>
      <c r="BC109" s="10"/>
      <c r="BD109" s="10"/>
    </row>
    <row r="110" spans="1:56" ht="30" x14ac:dyDescent="0.25">
      <c r="A110" s="4" t="s">
        <v>517</v>
      </c>
      <c r="B110" s="4"/>
      <c r="C110" s="4" t="s">
        <v>46</v>
      </c>
      <c r="D110" s="4" t="s">
        <v>23</v>
      </c>
      <c r="E110" s="5" t="s">
        <v>34</v>
      </c>
      <c r="F110" s="6"/>
      <c r="G110" s="4" t="s">
        <v>26</v>
      </c>
      <c r="H110" s="62" t="s">
        <v>1024</v>
      </c>
      <c r="I110" s="12" t="s">
        <v>833</v>
      </c>
      <c r="J110" s="12">
        <v>75</v>
      </c>
      <c r="K110" s="12"/>
      <c r="L110" s="12" t="s">
        <v>830</v>
      </c>
      <c r="M110" s="64">
        <v>1.41</v>
      </c>
      <c r="N110" s="12"/>
      <c r="O110" s="12"/>
      <c r="P110" s="12"/>
      <c r="Q110" s="12"/>
      <c r="R110" s="12" t="s">
        <v>518</v>
      </c>
      <c r="S110" s="12">
        <v>100</v>
      </c>
      <c r="T110" s="12"/>
      <c r="U110" s="12"/>
      <c r="V110" s="12"/>
      <c r="W110" s="7"/>
      <c r="X110" s="12"/>
      <c r="Y110" s="7">
        <v>9</v>
      </c>
      <c r="Z110" s="7"/>
      <c r="AA110" s="7"/>
      <c r="AB110" s="7"/>
      <c r="AC110" s="7"/>
      <c r="AD110" s="4"/>
      <c r="AE110" s="4"/>
      <c r="AF110" s="4"/>
      <c r="AG110" s="4"/>
      <c r="AH110" s="9"/>
      <c r="AI110" s="9"/>
      <c r="AJ110" s="9"/>
      <c r="AK110" s="9" t="s">
        <v>30</v>
      </c>
      <c r="AL110" s="10"/>
      <c r="AM110" s="10"/>
      <c r="AN110" s="10"/>
      <c r="AO110" s="10"/>
      <c r="AP110" s="10"/>
      <c r="AQ110" s="11" t="s">
        <v>519</v>
      </c>
      <c r="AR110" s="4"/>
      <c r="AS110" s="10" t="s">
        <v>875</v>
      </c>
      <c r="AT110" s="10"/>
      <c r="AU110" s="10"/>
      <c r="AV110" s="10"/>
      <c r="AW110" s="10"/>
      <c r="AX110" s="10"/>
      <c r="AY110" s="10"/>
      <c r="AZ110" s="10"/>
      <c r="BA110" s="10"/>
      <c r="BB110" s="10"/>
      <c r="BC110" s="10"/>
      <c r="BD110" s="10"/>
    </row>
    <row r="111" spans="1:56" ht="30" x14ac:dyDescent="0.25">
      <c r="A111" s="4" t="s">
        <v>1021</v>
      </c>
      <c r="B111" s="4"/>
      <c r="C111" s="4" t="s">
        <v>46</v>
      </c>
      <c r="D111" s="4" t="s">
        <v>23</v>
      </c>
      <c r="E111" s="5" t="s">
        <v>34</v>
      </c>
      <c r="F111" s="6"/>
      <c r="G111" s="4" t="s">
        <v>26</v>
      </c>
      <c r="H111" s="4" t="s">
        <v>1022</v>
      </c>
      <c r="I111" s="12">
        <v>8</v>
      </c>
      <c r="J111" s="12"/>
      <c r="K111" s="12"/>
      <c r="L111" s="12">
        <v>0.01</v>
      </c>
      <c r="M111" s="64"/>
      <c r="N111" s="12"/>
      <c r="O111" s="12"/>
      <c r="P111" s="12"/>
      <c r="Q111" s="12"/>
      <c r="R111" s="12"/>
      <c r="S111" s="12"/>
      <c r="T111" s="12"/>
      <c r="U111" s="12"/>
      <c r="V111" s="12"/>
      <c r="W111" s="7"/>
      <c r="X111" s="12"/>
      <c r="Y111" s="7"/>
      <c r="Z111" s="7"/>
      <c r="AA111" s="7"/>
      <c r="AB111" s="7"/>
      <c r="AC111" s="7"/>
      <c r="AD111" s="4"/>
      <c r="AE111" s="4"/>
      <c r="AF111" s="4"/>
      <c r="AG111" s="4"/>
      <c r="AH111" s="9"/>
      <c r="AI111" s="9"/>
      <c r="AJ111" s="9"/>
      <c r="AK111" s="9" t="s">
        <v>30</v>
      </c>
      <c r="AL111" s="10"/>
      <c r="AM111" s="10"/>
      <c r="AN111" s="10"/>
      <c r="AO111" s="10"/>
      <c r="AP111" s="10"/>
      <c r="AQ111" s="11">
        <v>9</v>
      </c>
      <c r="AR111" s="4"/>
      <c r="AS111" s="10" t="s">
        <v>875</v>
      </c>
      <c r="AT111" s="10"/>
      <c r="AU111" s="10"/>
      <c r="AV111" s="10"/>
      <c r="AW111" s="10"/>
      <c r="AX111" s="10"/>
      <c r="AY111" s="10"/>
      <c r="AZ111" s="10"/>
      <c r="BA111" s="10"/>
      <c r="BB111" s="10"/>
      <c r="BC111" s="10"/>
      <c r="BD111" s="10"/>
    </row>
    <row r="112" spans="1:56" ht="30" x14ac:dyDescent="0.25">
      <c r="A112" s="4" t="s">
        <v>520</v>
      </c>
      <c r="B112" s="4"/>
      <c r="C112" s="4" t="s">
        <v>46</v>
      </c>
      <c r="D112" s="4" t="s">
        <v>23</v>
      </c>
      <c r="E112" s="5" t="s">
        <v>34</v>
      </c>
      <c r="F112" s="6"/>
      <c r="G112" s="6" t="s">
        <v>26</v>
      </c>
      <c r="H112" s="4" t="s">
        <v>1022</v>
      </c>
      <c r="I112" s="12">
        <v>100</v>
      </c>
      <c r="J112" s="12">
        <v>100</v>
      </c>
      <c r="K112" s="12"/>
      <c r="L112" s="12">
        <v>0.75</v>
      </c>
      <c r="M112" s="64">
        <v>0.75</v>
      </c>
      <c r="N112" s="12"/>
      <c r="O112" s="12"/>
      <c r="P112" s="12"/>
      <c r="Q112" s="12"/>
      <c r="R112" s="12">
        <v>1500</v>
      </c>
      <c r="S112" s="12">
        <v>1500</v>
      </c>
      <c r="T112" s="12"/>
      <c r="U112" s="12"/>
      <c r="V112" s="12"/>
      <c r="W112" s="7"/>
      <c r="X112" s="12"/>
      <c r="Y112" s="7"/>
      <c r="Z112" s="7"/>
      <c r="AA112" s="7"/>
      <c r="AB112" s="7"/>
      <c r="AC112" s="7"/>
      <c r="AD112" s="4"/>
      <c r="AE112" s="4"/>
      <c r="AF112" s="4"/>
      <c r="AG112" s="4"/>
      <c r="AH112" s="9"/>
      <c r="AI112" s="9"/>
      <c r="AJ112" s="9"/>
      <c r="AK112" s="9" t="s">
        <v>30</v>
      </c>
      <c r="AL112" s="10"/>
      <c r="AM112" s="10"/>
      <c r="AN112" s="10"/>
      <c r="AO112" s="10"/>
      <c r="AP112" s="10"/>
      <c r="AQ112" s="11">
        <v>9</v>
      </c>
      <c r="AR112" s="4"/>
      <c r="AS112" s="10"/>
      <c r="AT112" s="10"/>
      <c r="AU112" s="10"/>
      <c r="AV112" s="10"/>
      <c r="AW112" s="10"/>
      <c r="AX112" s="10"/>
      <c r="AY112" s="10"/>
      <c r="AZ112" s="10"/>
      <c r="BA112" s="10"/>
      <c r="BB112" s="10"/>
      <c r="BC112" s="10"/>
      <c r="BD112" s="10"/>
    </row>
    <row r="113" spans="1:56" ht="30" x14ac:dyDescent="0.25">
      <c r="A113" s="4" t="s">
        <v>521</v>
      </c>
      <c r="B113" s="4"/>
      <c r="C113" s="4" t="s">
        <v>46</v>
      </c>
      <c r="D113" s="4" t="s">
        <v>23</v>
      </c>
      <c r="E113" s="5" t="s">
        <v>34</v>
      </c>
      <c r="F113" s="6"/>
      <c r="G113" s="6" t="s">
        <v>26</v>
      </c>
      <c r="H113" s="4" t="s">
        <v>1022</v>
      </c>
      <c r="I113" s="12">
        <v>60</v>
      </c>
      <c r="J113" s="12">
        <v>60</v>
      </c>
      <c r="K113" s="12"/>
      <c r="L113" s="12">
        <v>0.75</v>
      </c>
      <c r="M113" s="64">
        <v>0.75</v>
      </c>
      <c r="N113" s="12"/>
      <c r="O113" s="12"/>
      <c r="P113" s="12"/>
      <c r="Q113" s="12"/>
      <c r="R113" s="12">
        <v>2500</v>
      </c>
      <c r="S113" s="12">
        <v>2500</v>
      </c>
      <c r="T113" s="12"/>
      <c r="U113" s="12"/>
      <c r="V113" s="12"/>
      <c r="W113" s="7"/>
      <c r="X113" s="12"/>
      <c r="Y113" s="7"/>
      <c r="Z113" s="7"/>
      <c r="AA113" s="7"/>
      <c r="AB113" s="7"/>
      <c r="AC113" s="7"/>
      <c r="AD113" s="4"/>
      <c r="AE113" s="4"/>
      <c r="AF113" s="4"/>
      <c r="AG113" s="4"/>
      <c r="AH113" s="9"/>
      <c r="AI113" s="9"/>
      <c r="AJ113" s="9"/>
      <c r="AK113" s="9" t="s">
        <v>30</v>
      </c>
      <c r="AL113" s="10"/>
      <c r="AM113" s="10"/>
      <c r="AN113" s="10"/>
      <c r="AO113" s="10"/>
      <c r="AP113" s="10"/>
      <c r="AQ113" s="11">
        <v>9</v>
      </c>
      <c r="AR113" s="4"/>
      <c r="AS113" s="10"/>
      <c r="AT113" s="10"/>
      <c r="AU113" s="10"/>
      <c r="AV113" s="10"/>
      <c r="AW113" s="10"/>
      <c r="AX113" s="10"/>
      <c r="AY113" s="10"/>
      <c r="AZ113" s="10"/>
      <c r="BA113" s="10"/>
      <c r="BB113" s="10"/>
      <c r="BC113" s="10"/>
      <c r="BD113" s="10"/>
    </row>
    <row r="114" spans="1:56" ht="45" x14ac:dyDescent="0.25">
      <c r="A114" s="4" t="s">
        <v>522</v>
      </c>
      <c r="B114" s="4"/>
      <c r="C114" s="4" t="s">
        <v>139</v>
      </c>
      <c r="D114" s="4" t="s">
        <v>131</v>
      </c>
      <c r="E114" s="5" t="s">
        <v>34</v>
      </c>
      <c r="F114" s="6"/>
      <c r="G114" s="4" t="s">
        <v>26</v>
      </c>
      <c r="H114" s="62" t="s">
        <v>1026</v>
      </c>
      <c r="I114" s="12" t="s">
        <v>832</v>
      </c>
      <c r="J114" s="12">
        <v>150</v>
      </c>
      <c r="K114" s="12"/>
      <c r="L114" s="12" t="s">
        <v>831</v>
      </c>
      <c r="M114" s="64">
        <v>0.3</v>
      </c>
      <c r="N114" s="12"/>
      <c r="O114" s="12"/>
      <c r="P114" s="12"/>
      <c r="Q114" s="12"/>
      <c r="R114" s="12" t="s">
        <v>523</v>
      </c>
      <c r="S114" s="12">
        <v>850</v>
      </c>
      <c r="T114" s="12"/>
      <c r="U114" s="12"/>
      <c r="V114" s="12"/>
      <c r="W114" s="7"/>
      <c r="X114" s="12"/>
      <c r="Y114" s="7" t="s">
        <v>515</v>
      </c>
      <c r="Z114" s="7"/>
      <c r="AA114" s="7"/>
      <c r="AB114" s="7"/>
      <c r="AC114" s="7"/>
      <c r="AD114" s="4"/>
      <c r="AE114" s="4"/>
      <c r="AF114" s="4"/>
      <c r="AG114" s="4"/>
      <c r="AH114" s="9"/>
      <c r="AI114" s="9"/>
      <c r="AJ114" s="9"/>
      <c r="AK114" s="9" t="s">
        <v>30</v>
      </c>
      <c r="AL114" s="10"/>
      <c r="AM114" s="10"/>
      <c r="AN114" s="10"/>
      <c r="AO114" s="10"/>
      <c r="AP114" s="10"/>
      <c r="AQ114" s="11" t="s">
        <v>516</v>
      </c>
      <c r="AR114" s="4"/>
      <c r="AS114" s="10" t="s">
        <v>936</v>
      </c>
      <c r="AT114" s="10"/>
      <c r="AU114" s="10"/>
      <c r="AV114" s="10"/>
      <c r="AW114" s="10"/>
      <c r="AX114" s="10"/>
      <c r="AY114" s="10"/>
      <c r="AZ114" s="10"/>
      <c r="BA114" s="10"/>
      <c r="BB114" s="10"/>
      <c r="BC114" s="10"/>
      <c r="BD114" s="10"/>
    </row>
    <row r="115" spans="1:56" ht="45" x14ac:dyDescent="0.25">
      <c r="A115" s="4" t="s">
        <v>714</v>
      </c>
      <c r="B115" s="4"/>
      <c r="C115" s="4" t="s">
        <v>186</v>
      </c>
      <c r="D115" s="4" t="s">
        <v>131</v>
      </c>
      <c r="E115" s="5" t="s">
        <v>24</v>
      </c>
      <c r="F115" s="6"/>
      <c r="G115" s="4" t="s">
        <v>26</v>
      </c>
      <c r="H115" s="62" t="s">
        <v>524</v>
      </c>
      <c r="I115" s="12" t="s">
        <v>525</v>
      </c>
      <c r="J115" s="12">
        <v>100</v>
      </c>
      <c r="K115" s="12"/>
      <c r="L115" s="12" t="s">
        <v>1204</v>
      </c>
      <c r="M115" s="64">
        <v>0.54</v>
      </c>
      <c r="N115" s="12"/>
      <c r="O115" s="12">
        <v>0</v>
      </c>
      <c r="P115" s="12"/>
      <c r="Q115" s="12"/>
      <c r="R115" s="12">
        <v>0</v>
      </c>
      <c r="S115" s="12"/>
      <c r="T115" s="12"/>
      <c r="U115" s="12"/>
      <c r="V115" s="12"/>
      <c r="W115" s="7"/>
      <c r="X115" s="12"/>
      <c r="Y115" s="7"/>
      <c r="Z115" s="7"/>
      <c r="AA115" s="7"/>
      <c r="AB115" s="7"/>
      <c r="AC115" s="7"/>
      <c r="AD115" s="4"/>
      <c r="AE115" s="4"/>
      <c r="AF115" s="4"/>
      <c r="AG115" s="4"/>
      <c r="AH115" s="9"/>
      <c r="AI115" s="9"/>
      <c r="AJ115" s="9"/>
      <c r="AK115" s="9" t="s">
        <v>30</v>
      </c>
      <c r="AL115" s="10"/>
      <c r="AM115" s="10"/>
      <c r="AN115" s="10"/>
      <c r="AO115" s="10"/>
      <c r="AP115" s="10"/>
      <c r="AQ115" s="11" t="s">
        <v>526</v>
      </c>
      <c r="AR115" s="4"/>
      <c r="AS115" s="10"/>
      <c r="AT115" s="10"/>
      <c r="AU115" s="10"/>
      <c r="AV115" s="10"/>
      <c r="AW115" s="10"/>
      <c r="AX115" s="10"/>
      <c r="AY115" s="10"/>
      <c r="AZ115" s="10"/>
      <c r="BA115" s="10"/>
      <c r="BB115" s="10"/>
      <c r="BC115" s="10"/>
      <c r="BD115" s="10"/>
    </row>
    <row r="116" spans="1:56" ht="30" x14ac:dyDescent="0.25">
      <c r="A116" s="4" t="s">
        <v>527</v>
      </c>
      <c r="B116" s="4"/>
      <c r="C116" s="4" t="s">
        <v>528</v>
      </c>
      <c r="D116" s="4" t="s">
        <v>23</v>
      </c>
      <c r="E116" s="5" t="s">
        <v>34</v>
      </c>
      <c r="F116" s="4"/>
      <c r="G116" s="6" t="s">
        <v>35</v>
      </c>
      <c r="H116" s="4" t="s">
        <v>1022</v>
      </c>
      <c r="I116" s="12">
        <v>300</v>
      </c>
      <c r="J116" s="12">
        <v>300</v>
      </c>
      <c r="K116" s="12"/>
      <c r="L116" s="12">
        <v>1</v>
      </c>
      <c r="M116" s="64">
        <v>1</v>
      </c>
      <c r="N116" s="12"/>
      <c r="O116" s="12"/>
      <c r="P116" s="12"/>
      <c r="Q116" s="12"/>
      <c r="R116" s="12"/>
      <c r="S116" s="12"/>
      <c r="T116" s="12"/>
      <c r="U116" s="12">
        <v>186</v>
      </c>
      <c r="V116" s="12">
        <v>186</v>
      </c>
      <c r="W116" s="7"/>
      <c r="X116" s="12"/>
      <c r="Y116" s="7"/>
      <c r="Z116" s="7"/>
      <c r="AA116" s="7"/>
      <c r="AB116" s="7"/>
      <c r="AC116" s="7"/>
      <c r="AD116" s="4"/>
      <c r="AE116" s="4"/>
      <c r="AF116" s="4"/>
      <c r="AG116" s="4"/>
      <c r="AH116" s="9"/>
      <c r="AI116" s="9"/>
      <c r="AJ116" s="9"/>
      <c r="AK116" s="9" t="s">
        <v>30</v>
      </c>
      <c r="AL116" s="10"/>
      <c r="AM116" s="10"/>
      <c r="AN116" s="10"/>
      <c r="AO116" s="10"/>
      <c r="AP116" s="10"/>
      <c r="AQ116" s="11">
        <v>9</v>
      </c>
      <c r="AR116" s="4"/>
      <c r="AS116" s="10"/>
      <c r="AT116" s="10"/>
      <c r="AU116" s="10"/>
      <c r="AV116" s="10"/>
      <c r="AW116" s="10"/>
      <c r="AX116" s="10"/>
      <c r="AY116" s="10"/>
      <c r="AZ116" s="10"/>
      <c r="BA116" s="10"/>
      <c r="BB116" s="10"/>
      <c r="BC116" s="10"/>
      <c r="BD116" s="10"/>
    </row>
    <row r="117" spans="1:56" ht="30" x14ac:dyDescent="0.25">
      <c r="A117" s="4" t="s">
        <v>529</v>
      </c>
      <c r="B117" s="4"/>
      <c r="C117" s="4" t="s">
        <v>528</v>
      </c>
      <c r="D117" s="4" t="s">
        <v>131</v>
      </c>
      <c r="E117" s="5" t="s">
        <v>34</v>
      </c>
      <c r="F117" s="6"/>
      <c r="G117" s="6" t="s">
        <v>26</v>
      </c>
      <c r="H117" s="4" t="s">
        <v>1022</v>
      </c>
      <c r="I117" s="12">
        <v>9</v>
      </c>
      <c r="J117" s="12">
        <v>9</v>
      </c>
      <c r="K117" s="12"/>
      <c r="L117" s="12">
        <v>0.1</v>
      </c>
      <c r="M117" s="64">
        <v>0.1</v>
      </c>
      <c r="N117" s="12"/>
      <c r="O117" s="12">
        <v>0</v>
      </c>
      <c r="P117" s="12"/>
      <c r="Q117" s="12"/>
      <c r="R117" s="12">
        <v>0</v>
      </c>
      <c r="S117" s="12"/>
      <c r="T117" s="12"/>
      <c r="U117" s="12"/>
      <c r="V117" s="12"/>
      <c r="W117" s="7"/>
      <c r="X117" s="12"/>
      <c r="Y117" s="7"/>
      <c r="Z117" s="7"/>
      <c r="AA117" s="7"/>
      <c r="AB117" s="7"/>
      <c r="AC117" s="7"/>
      <c r="AD117" s="4"/>
      <c r="AE117" s="4"/>
      <c r="AF117" s="4"/>
      <c r="AG117" s="4"/>
      <c r="AH117" s="9"/>
      <c r="AI117" s="9"/>
      <c r="AJ117" s="9"/>
      <c r="AK117" s="9" t="s">
        <v>30</v>
      </c>
      <c r="AL117" s="10"/>
      <c r="AM117" s="10"/>
      <c r="AN117" s="10"/>
      <c r="AO117" s="10"/>
      <c r="AP117" s="10"/>
      <c r="AQ117" s="11">
        <v>9</v>
      </c>
      <c r="AR117" s="4"/>
      <c r="AS117" s="10"/>
      <c r="AT117" s="10"/>
      <c r="AU117" s="10"/>
      <c r="AV117" s="10"/>
      <c r="AW117" s="10"/>
      <c r="AX117" s="10"/>
      <c r="AY117" s="10"/>
      <c r="AZ117" s="10"/>
      <c r="BA117" s="10"/>
      <c r="BB117" s="10"/>
      <c r="BC117" s="10"/>
      <c r="BD117" s="10"/>
    </row>
    <row r="118" spans="1:56" ht="60" x14ac:dyDescent="0.25">
      <c r="A118" s="4" t="s">
        <v>530</v>
      </c>
      <c r="B118" s="4"/>
      <c r="C118" s="4" t="s">
        <v>528</v>
      </c>
      <c r="D118" s="4" t="s">
        <v>131</v>
      </c>
      <c r="E118" s="5" t="s">
        <v>34</v>
      </c>
      <c r="F118" s="6"/>
      <c r="G118" s="4" t="s">
        <v>67</v>
      </c>
      <c r="H118" s="62" t="s">
        <v>1025</v>
      </c>
      <c r="I118" s="12"/>
      <c r="J118" s="12"/>
      <c r="K118" s="12"/>
      <c r="L118" s="12" t="s">
        <v>1205</v>
      </c>
      <c r="M118" s="64"/>
      <c r="N118" s="12"/>
      <c r="O118" s="12"/>
      <c r="P118" s="12"/>
      <c r="Q118" s="12"/>
      <c r="R118" s="12"/>
      <c r="S118" s="12"/>
      <c r="T118" s="12"/>
      <c r="U118" s="12"/>
      <c r="V118" s="12"/>
      <c r="W118" s="7"/>
      <c r="X118" s="12"/>
      <c r="Y118" s="7"/>
      <c r="Z118" s="7"/>
      <c r="AA118" s="7"/>
      <c r="AB118" s="7"/>
      <c r="AC118" s="7"/>
      <c r="AD118" s="4"/>
      <c r="AE118" s="4"/>
      <c r="AF118" s="4"/>
      <c r="AG118" s="4"/>
      <c r="AH118" s="9"/>
      <c r="AI118" s="9"/>
      <c r="AJ118" s="9"/>
      <c r="AK118" s="9" t="s">
        <v>30</v>
      </c>
      <c r="AL118" s="10"/>
      <c r="AM118" s="10"/>
      <c r="AN118" s="10"/>
      <c r="AO118" s="10"/>
      <c r="AP118" s="10"/>
      <c r="AQ118" s="11" t="s">
        <v>531</v>
      </c>
      <c r="AR118" s="4"/>
      <c r="AS118" s="10"/>
      <c r="AT118" s="10"/>
      <c r="AU118" s="10"/>
      <c r="AV118" s="10"/>
      <c r="AW118" s="10"/>
      <c r="AX118" s="10"/>
      <c r="AY118" s="10"/>
      <c r="AZ118" s="10"/>
      <c r="BA118" s="10"/>
      <c r="BB118" s="10"/>
      <c r="BC118" s="10" t="s">
        <v>1110</v>
      </c>
      <c r="BD118" s="10" t="s">
        <v>1111</v>
      </c>
    </row>
    <row r="119" spans="1:56" ht="210" x14ac:dyDescent="0.25">
      <c r="A119" s="4" t="s">
        <v>973</v>
      </c>
      <c r="B119" s="4"/>
      <c r="C119" s="4" t="s">
        <v>46</v>
      </c>
      <c r="D119" s="4" t="s">
        <v>23</v>
      </c>
      <c r="E119" s="5" t="s">
        <v>34</v>
      </c>
      <c r="F119" s="4"/>
      <c r="G119" s="4" t="s">
        <v>67</v>
      </c>
      <c r="H119" s="62" t="s">
        <v>1014</v>
      </c>
      <c r="I119" s="12" t="s">
        <v>747</v>
      </c>
      <c r="J119" s="12">
        <v>61.78217821782178</v>
      </c>
      <c r="K119" s="12">
        <v>0.5</v>
      </c>
      <c r="L119" s="12" t="s">
        <v>748</v>
      </c>
      <c r="M119" s="64">
        <v>0.2212792707842213</v>
      </c>
      <c r="N119" s="12">
        <v>0.5</v>
      </c>
      <c r="O119" s="12" t="s">
        <v>448</v>
      </c>
      <c r="P119" s="12">
        <v>107.87364450730789</v>
      </c>
      <c r="Q119" s="12">
        <v>0.5</v>
      </c>
      <c r="R119" s="12" t="s">
        <v>449</v>
      </c>
      <c r="S119" s="12">
        <v>359.32736130755933</v>
      </c>
      <c r="T119" s="12">
        <v>0.5</v>
      </c>
      <c r="U119" s="12"/>
      <c r="V119" s="12"/>
      <c r="W119" s="7">
        <v>70</v>
      </c>
      <c r="X119" s="12">
        <v>0.2082036775106082</v>
      </c>
      <c r="Y119" s="7" t="s">
        <v>451</v>
      </c>
      <c r="Z119" s="7">
        <v>9</v>
      </c>
      <c r="AA119" s="7">
        <v>1</v>
      </c>
      <c r="AB119" s="7">
        <v>13600</v>
      </c>
      <c r="AC119" s="7">
        <v>0.5</v>
      </c>
      <c r="AD119" s="4" t="s">
        <v>1165</v>
      </c>
      <c r="AE119" s="13">
        <f>13.1/9*Crew_Size/500*Mission_Duration</f>
        <v>8.7333333333333343</v>
      </c>
      <c r="AF119" s="13"/>
      <c r="AG119" s="4">
        <v>0.5</v>
      </c>
      <c r="AH119" s="9" t="s">
        <v>452</v>
      </c>
      <c r="AI119" s="9" t="s">
        <v>453</v>
      </c>
      <c r="AJ119" s="9" t="s">
        <v>454</v>
      </c>
      <c r="AK119" s="9" t="s">
        <v>30</v>
      </c>
      <c r="AL119" s="10" t="s">
        <v>455</v>
      </c>
      <c r="AM119" s="10" t="s">
        <v>456</v>
      </c>
      <c r="AN119" s="10" t="s">
        <v>457</v>
      </c>
      <c r="AO119" s="10" t="s">
        <v>458</v>
      </c>
      <c r="AP119" s="10" t="s">
        <v>459</v>
      </c>
      <c r="AQ119" s="11" t="s">
        <v>460</v>
      </c>
      <c r="AR119" s="4" t="s">
        <v>461</v>
      </c>
      <c r="AS119" s="10" t="s">
        <v>861</v>
      </c>
      <c r="AT119" s="10"/>
      <c r="AU119" s="10"/>
      <c r="AV119" s="10"/>
      <c r="AW119" s="10" t="s">
        <v>858</v>
      </c>
      <c r="AX119" s="10" t="s">
        <v>859</v>
      </c>
      <c r="AY119" s="10" t="s">
        <v>860</v>
      </c>
      <c r="AZ119" s="10"/>
      <c r="BA119" s="10"/>
      <c r="BB119" s="10"/>
      <c r="BC119" s="10" t="s">
        <v>450</v>
      </c>
      <c r="BD119" s="10" t="s">
        <v>1136</v>
      </c>
    </row>
    <row r="120" spans="1:56" ht="75" x14ac:dyDescent="0.25">
      <c r="A120" s="4" t="s">
        <v>536</v>
      </c>
      <c r="B120" s="4"/>
      <c r="C120" s="4" t="s">
        <v>70</v>
      </c>
      <c r="D120" s="4" t="s">
        <v>23</v>
      </c>
      <c r="E120" s="5" t="s">
        <v>34</v>
      </c>
      <c r="F120" s="6"/>
      <c r="G120" s="4" t="s">
        <v>67</v>
      </c>
      <c r="H120" s="62" t="s">
        <v>1172</v>
      </c>
      <c r="I120" s="12"/>
      <c r="J120" s="12"/>
      <c r="K120" s="12"/>
      <c r="L120" s="12"/>
      <c r="M120" s="64"/>
      <c r="N120" s="12"/>
      <c r="O120" s="12"/>
      <c r="P120" s="12"/>
      <c r="Q120" s="12"/>
      <c r="R120" s="12"/>
      <c r="S120" s="12"/>
      <c r="T120" s="12"/>
      <c r="U120" s="12"/>
      <c r="V120" s="12"/>
      <c r="W120" s="7"/>
      <c r="X120" s="12"/>
      <c r="Y120" s="7"/>
      <c r="Z120" s="7"/>
      <c r="AA120" s="7"/>
      <c r="AB120" s="7"/>
      <c r="AC120" s="7"/>
      <c r="AD120" s="4"/>
      <c r="AE120" s="4"/>
      <c r="AF120" s="4"/>
      <c r="AG120" s="4"/>
      <c r="AH120" s="9"/>
      <c r="AI120" s="9"/>
      <c r="AJ120" s="9"/>
      <c r="AK120" s="9" t="s">
        <v>30</v>
      </c>
      <c r="AL120" s="10"/>
      <c r="AM120" s="10"/>
      <c r="AN120" s="10"/>
      <c r="AO120" s="10"/>
      <c r="AP120" s="10"/>
      <c r="AQ120" s="11">
        <v>23</v>
      </c>
      <c r="AR120" s="4"/>
      <c r="AS120" s="10" t="s">
        <v>916</v>
      </c>
      <c r="AT120" s="10"/>
      <c r="AU120" s="10"/>
      <c r="AV120" s="10"/>
      <c r="AW120" s="10"/>
      <c r="AX120" s="10"/>
      <c r="AY120" s="10"/>
      <c r="AZ120" s="10"/>
      <c r="BA120" s="10"/>
      <c r="BB120" s="10"/>
      <c r="BC120" s="10" t="s">
        <v>1112</v>
      </c>
      <c r="BD120" s="10" t="s">
        <v>537</v>
      </c>
    </row>
    <row r="121" spans="1:56" ht="30" x14ac:dyDescent="0.25">
      <c r="A121" s="4" t="s">
        <v>538</v>
      </c>
      <c r="B121" s="4"/>
      <c r="C121" s="4" t="s">
        <v>66</v>
      </c>
      <c r="D121" s="4" t="s">
        <v>23</v>
      </c>
      <c r="E121" s="5" t="s">
        <v>34</v>
      </c>
      <c r="F121" s="4" t="s">
        <v>221</v>
      </c>
      <c r="G121" s="4" t="s">
        <v>26</v>
      </c>
      <c r="H121" s="4" t="s">
        <v>1027</v>
      </c>
      <c r="I121" s="12" t="s">
        <v>834</v>
      </c>
      <c r="J121" s="12">
        <v>0.7</v>
      </c>
      <c r="K121" s="12"/>
      <c r="L121" s="12" t="s">
        <v>1028</v>
      </c>
      <c r="M121" s="64">
        <v>4.2999999999999999E-4</v>
      </c>
      <c r="N121" s="12"/>
      <c r="O121" s="12">
        <v>0</v>
      </c>
      <c r="P121" s="12"/>
      <c r="Q121" s="12"/>
      <c r="R121" s="12">
        <v>0</v>
      </c>
      <c r="S121" s="12"/>
      <c r="T121" s="12"/>
      <c r="U121" s="12"/>
      <c r="V121" s="12"/>
      <c r="W121" s="7"/>
      <c r="X121" s="12"/>
      <c r="Y121" s="7"/>
      <c r="Z121" s="7"/>
      <c r="AA121" s="7"/>
      <c r="AB121" s="7"/>
      <c r="AC121" s="7"/>
      <c r="AD121" s="4"/>
      <c r="AE121" s="4"/>
      <c r="AF121" s="4"/>
      <c r="AG121" s="4"/>
      <c r="AH121" s="9"/>
      <c r="AI121" s="9"/>
      <c r="AJ121" s="9"/>
      <c r="AK121" s="9" t="s">
        <v>30</v>
      </c>
      <c r="AL121" s="10"/>
      <c r="AM121" s="10"/>
      <c r="AN121" s="10"/>
      <c r="AO121" s="10"/>
      <c r="AP121" s="10"/>
      <c r="AQ121" s="11">
        <v>23</v>
      </c>
      <c r="AR121" s="4" t="s">
        <v>32</v>
      </c>
      <c r="AS121" s="10" t="s">
        <v>954</v>
      </c>
      <c r="AT121" s="10" t="s">
        <v>948</v>
      </c>
      <c r="AU121" s="10"/>
      <c r="AV121" s="10"/>
      <c r="AW121" s="10"/>
      <c r="AX121" s="10"/>
      <c r="AY121" s="10"/>
      <c r="AZ121" s="10"/>
      <c r="BA121" s="10"/>
      <c r="BB121" s="10"/>
      <c r="BC121" s="10"/>
      <c r="BD121" s="10"/>
    </row>
    <row r="122" spans="1:56" ht="30" x14ac:dyDescent="0.25">
      <c r="A122" s="4" t="s">
        <v>539</v>
      </c>
      <c r="B122" s="4"/>
      <c r="C122" s="4" t="s">
        <v>66</v>
      </c>
      <c r="D122" s="4" t="s">
        <v>23</v>
      </c>
      <c r="E122" s="5" t="s">
        <v>34</v>
      </c>
      <c r="F122" s="4"/>
      <c r="G122" s="4" t="s">
        <v>35</v>
      </c>
      <c r="H122" s="4" t="s">
        <v>1173</v>
      </c>
      <c r="I122" s="12" t="s">
        <v>755</v>
      </c>
      <c r="J122" s="12"/>
      <c r="K122" s="12"/>
      <c r="L122" s="12" t="s">
        <v>756</v>
      </c>
      <c r="M122" s="64"/>
      <c r="N122" s="12"/>
      <c r="O122" s="12"/>
      <c r="P122" s="12"/>
      <c r="Q122" s="12"/>
      <c r="R122" s="12"/>
      <c r="S122" s="12"/>
      <c r="T122" s="12"/>
      <c r="U122" s="12"/>
      <c r="V122" s="12"/>
      <c r="W122" s="7"/>
      <c r="X122" s="12"/>
      <c r="Y122" s="7"/>
      <c r="Z122" s="7"/>
      <c r="AA122" s="7"/>
      <c r="AB122" s="7"/>
      <c r="AC122" s="7"/>
      <c r="AD122" s="4"/>
      <c r="AE122" s="4"/>
      <c r="AF122" s="4"/>
      <c r="AG122" s="4"/>
      <c r="AH122" s="9"/>
      <c r="AI122" s="9"/>
      <c r="AJ122" s="9"/>
      <c r="AK122" s="9" t="s">
        <v>30</v>
      </c>
      <c r="AL122" s="10"/>
      <c r="AM122" s="10"/>
      <c r="AN122" s="10"/>
      <c r="AO122" s="10"/>
      <c r="AP122" s="10"/>
      <c r="AQ122" s="11" t="s">
        <v>540</v>
      </c>
      <c r="AR122" s="4"/>
      <c r="AS122" s="10"/>
      <c r="AT122" s="10"/>
      <c r="AU122" s="10"/>
      <c r="AV122" s="10"/>
      <c r="AW122" s="10"/>
      <c r="AX122" s="10"/>
      <c r="AY122" s="10"/>
      <c r="AZ122" s="10"/>
      <c r="BA122" s="10"/>
      <c r="BB122" s="10"/>
      <c r="BC122" s="10"/>
      <c r="BD122" s="10"/>
    </row>
    <row r="123" spans="1:56" ht="60" x14ac:dyDescent="0.25">
      <c r="A123" s="4" t="s">
        <v>541</v>
      </c>
      <c r="B123" s="4" t="s">
        <v>1490</v>
      </c>
      <c r="C123" s="4" t="s">
        <v>22</v>
      </c>
      <c r="D123" s="4" t="s">
        <v>62</v>
      </c>
      <c r="E123" s="5" t="s">
        <v>34</v>
      </c>
      <c r="F123" s="4"/>
      <c r="G123" s="4" t="s">
        <v>35</v>
      </c>
      <c r="H123" s="62" t="s">
        <v>542</v>
      </c>
      <c r="I123" s="12"/>
      <c r="J123" s="12"/>
      <c r="K123" s="12"/>
      <c r="L123" s="12"/>
      <c r="M123" s="64"/>
      <c r="N123" s="12"/>
      <c r="O123" s="12"/>
      <c r="P123" s="12"/>
      <c r="Q123" s="12"/>
      <c r="R123" s="12"/>
      <c r="S123" s="12"/>
      <c r="T123" s="12"/>
      <c r="U123" s="12"/>
      <c r="V123" s="12"/>
      <c r="W123" s="7"/>
      <c r="X123" s="12"/>
      <c r="Y123" s="7"/>
      <c r="Z123" s="7">
        <v>3</v>
      </c>
      <c r="AA123" s="7">
        <v>0.25</v>
      </c>
      <c r="AB123" s="7"/>
      <c r="AC123" s="7"/>
      <c r="AD123" s="4"/>
      <c r="AE123" s="4"/>
      <c r="AF123" s="4"/>
      <c r="AG123" s="4"/>
      <c r="AH123" s="9"/>
      <c r="AI123" s="9" t="s">
        <v>543</v>
      </c>
      <c r="AJ123" s="9"/>
      <c r="AK123" s="9" t="s">
        <v>30</v>
      </c>
      <c r="AL123" s="10"/>
      <c r="AM123" s="10"/>
      <c r="AN123" s="10"/>
      <c r="AO123" s="10"/>
      <c r="AP123" s="10"/>
      <c r="AQ123" s="11">
        <v>24</v>
      </c>
      <c r="AR123" s="4"/>
      <c r="AS123" s="10"/>
      <c r="AT123" s="10"/>
      <c r="AU123" s="10"/>
      <c r="AV123" s="10" t="s">
        <v>857</v>
      </c>
      <c r="AW123" s="10"/>
      <c r="AX123" s="10"/>
      <c r="AY123" s="10"/>
      <c r="AZ123" s="10"/>
      <c r="BA123" s="10"/>
      <c r="BB123" s="10"/>
      <c r="BC123" s="10"/>
      <c r="BD123" s="10"/>
    </row>
    <row r="124" spans="1:56" ht="30" x14ac:dyDescent="0.25">
      <c r="A124" s="4" t="s">
        <v>544</v>
      </c>
      <c r="B124" s="4" t="s">
        <v>1491</v>
      </c>
      <c r="C124" s="4" t="s">
        <v>22</v>
      </c>
      <c r="D124" s="4" t="s">
        <v>62</v>
      </c>
      <c r="E124" s="5" t="s">
        <v>34</v>
      </c>
      <c r="F124" s="4"/>
      <c r="G124" s="4" t="s">
        <v>35</v>
      </c>
      <c r="H124" s="4" t="s">
        <v>1033</v>
      </c>
      <c r="I124" s="12"/>
      <c r="J124" s="12"/>
      <c r="K124" s="12"/>
      <c r="L124" s="12"/>
      <c r="M124" s="64"/>
      <c r="N124" s="12"/>
      <c r="O124" s="12"/>
      <c r="P124" s="12"/>
      <c r="Q124" s="12"/>
      <c r="R124" s="12"/>
      <c r="S124" s="12"/>
      <c r="T124" s="12"/>
      <c r="U124" s="12"/>
      <c r="V124" s="12"/>
      <c r="W124" s="7"/>
      <c r="X124" s="12"/>
      <c r="Y124" s="7"/>
      <c r="Z124" s="7">
        <v>3</v>
      </c>
      <c r="AA124" s="7">
        <v>0.25</v>
      </c>
      <c r="AB124" s="7"/>
      <c r="AC124" s="7"/>
      <c r="AD124" s="4"/>
      <c r="AE124" s="4"/>
      <c r="AF124" s="4"/>
      <c r="AG124" s="4"/>
      <c r="AH124" s="9"/>
      <c r="AI124" s="9" t="s">
        <v>543</v>
      </c>
      <c r="AJ124" s="9"/>
      <c r="AK124" s="9" t="s">
        <v>30</v>
      </c>
      <c r="AL124" s="10"/>
      <c r="AM124" s="10"/>
      <c r="AN124" s="10"/>
      <c r="AO124" s="10"/>
      <c r="AP124" s="10"/>
      <c r="AQ124" s="11">
        <v>24</v>
      </c>
      <c r="AR124" s="4"/>
      <c r="AS124" s="10"/>
      <c r="AT124" s="10"/>
      <c r="AU124" s="10" t="s">
        <v>857</v>
      </c>
      <c r="AV124" s="10"/>
      <c r="AW124" s="10"/>
      <c r="AX124" s="10"/>
      <c r="AY124" s="10"/>
      <c r="AZ124" s="10"/>
      <c r="BA124" s="10"/>
      <c r="BB124" s="10"/>
      <c r="BC124" s="10"/>
      <c r="BD124" s="10"/>
    </row>
    <row r="125" spans="1:56" ht="45" x14ac:dyDescent="0.25">
      <c r="A125" s="4" t="s">
        <v>545</v>
      </c>
      <c r="B125" s="4"/>
      <c r="C125" s="4" t="s">
        <v>66</v>
      </c>
      <c r="D125" s="4" t="s">
        <v>131</v>
      </c>
      <c r="E125" s="5" t="s">
        <v>24</v>
      </c>
      <c r="F125" s="4"/>
      <c r="G125" s="4" t="s">
        <v>26</v>
      </c>
      <c r="H125" s="4" t="s">
        <v>1034</v>
      </c>
      <c r="I125" s="12">
        <f>2.1+10</f>
        <v>12.1</v>
      </c>
      <c r="J125" s="12">
        <v>12.1</v>
      </c>
      <c r="K125" s="12"/>
      <c r="L125" s="12"/>
      <c r="M125" s="64"/>
      <c r="N125" s="12"/>
      <c r="O125" s="12"/>
      <c r="P125" s="12"/>
      <c r="Q125" s="12"/>
      <c r="R125" s="12"/>
      <c r="S125" s="12"/>
      <c r="T125" s="12"/>
      <c r="U125" s="12"/>
      <c r="V125" s="12"/>
      <c r="W125" s="7"/>
      <c r="X125" s="12"/>
      <c r="Y125" s="7"/>
      <c r="Z125" s="7"/>
      <c r="AA125" s="7"/>
      <c r="AB125" s="7"/>
      <c r="AC125" s="7"/>
      <c r="AD125" s="4"/>
      <c r="AE125" s="4"/>
      <c r="AF125" s="4"/>
      <c r="AG125" s="4"/>
      <c r="AH125" s="9"/>
      <c r="AI125" s="9"/>
      <c r="AJ125" s="9"/>
      <c r="AK125" s="9" t="s">
        <v>30</v>
      </c>
      <c r="AL125" s="10" t="s">
        <v>546</v>
      </c>
      <c r="AM125" s="10"/>
      <c r="AN125" s="10"/>
      <c r="AO125" s="10"/>
      <c r="AP125" s="10"/>
      <c r="AQ125" s="11">
        <v>27</v>
      </c>
      <c r="AR125" s="4"/>
      <c r="AS125" s="10" t="s">
        <v>869</v>
      </c>
      <c r="AT125" s="10"/>
      <c r="AU125" s="10"/>
      <c r="AV125" s="10"/>
      <c r="AW125" s="10"/>
      <c r="AX125" s="10"/>
      <c r="AY125" s="10"/>
      <c r="AZ125" s="10"/>
      <c r="BA125" s="10"/>
      <c r="BB125" s="10"/>
      <c r="BC125" s="10"/>
      <c r="BD125" s="10"/>
    </row>
    <row r="126" spans="1:56" ht="45" x14ac:dyDescent="0.25">
      <c r="A126" s="4" t="s">
        <v>1274</v>
      </c>
      <c r="B126" s="4" t="s">
        <v>1274</v>
      </c>
      <c r="C126" s="4" t="s">
        <v>46</v>
      </c>
      <c r="D126" s="4" t="s">
        <v>131</v>
      </c>
      <c r="E126" s="5" t="s">
        <v>24</v>
      </c>
      <c r="F126" s="4"/>
      <c r="G126" s="4" t="s">
        <v>35</v>
      </c>
      <c r="H126" s="4" t="s">
        <v>1035</v>
      </c>
      <c r="I126" s="12"/>
      <c r="J126" s="12">
        <v>93.876941165923142</v>
      </c>
      <c r="K126" s="12">
        <v>1</v>
      </c>
      <c r="L126" s="12"/>
      <c r="M126" s="64">
        <v>26.982045036207516</v>
      </c>
      <c r="N126" s="12">
        <v>1</v>
      </c>
      <c r="O126" s="12"/>
      <c r="P126" s="12">
        <v>0</v>
      </c>
      <c r="Q126" s="12">
        <v>1</v>
      </c>
      <c r="R126" s="12"/>
      <c r="S126" s="12">
        <v>0</v>
      </c>
      <c r="T126" s="12">
        <v>1</v>
      </c>
      <c r="U126" s="12">
        <v>20</v>
      </c>
      <c r="V126" s="12">
        <v>20</v>
      </c>
      <c r="W126" s="7">
        <v>100</v>
      </c>
      <c r="X126" s="12">
        <v>24479.999999999996</v>
      </c>
      <c r="Y126" s="7">
        <v>9</v>
      </c>
      <c r="Z126" s="7">
        <v>9</v>
      </c>
      <c r="AA126" s="7">
        <v>1</v>
      </c>
      <c r="AB126" s="7">
        <v>64561</v>
      </c>
      <c r="AC126" s="7">
        <v>1</v>
      </c>
      <c r="AD126" s="4">
        <v>0</v>
      </c>
      <c r="AE126" s="4">
        <v>0</v>
      </c>
      <c r="AF126" s="4"/>
      <c r="AG126" s="4">
        <v>0.25</v>
      </c>
      <c r="AH126" s="9"/>
      <c r="AI126" s="9"/>
      <c r="AJ126" s="9"/>
      <c r="AK126" s="9" t="s">
        <v>30</v>
      </c>
      <c r="AL126" s="10"/>
      <c r="AM126" s="10"/>
      <c r="AN126" s="10"/>
      <c r="AO126" s="10"/>
      <c r="AP126" s="10"/>
      <c r="AQ126" s="11">
        <v>48</v>
      </c>
      <c r="AR126" s="4"/>
      <c r="AS126" s="10" t="s">
        <v>874</v>
      </c>
      <c r="AT126" s="10" t="s">
        <v>876</v>
      </c>
      <c r="AU126" s="10"/>
      <c r="AV126" s="10"/>
      <c r="AW126" s="10"/>
      <c r="AX126" s="10"/>
      <c r="AY126" s="10"/>
      <c r="AZ126" s="10"/>
      <c r="BA126" s="10"/>
      <c r="BB126" s="10"/>
      <c r="BC126" s="10"/>
      <c r="BD126" s="10"/>
    </row>
    <row r="127" spans="1:56" ht="30" x14ac:dyDescent="0.25">
      <c r="A127" s="4" t="s">
        <v>966</v>
      </c>
      <c r="B127" s="4"/>
      <c r="C127" s="4" t="s">
        <v>66</v>
      </c>
      <c r="D127" s="4" t="s">
        <v>131</v>
      </c>
      <c r="E127" s="5" t="s">
        <v>34</v>
      </c>
      <c r="F127" s="4"/>
      <c r="G127" s="4" t="s">
        <v>26</v>
      </c>
      <c r="H127" s="17"/>
      <c r="I127" s="12"/>
      <c r="J127" s="12"/>
      <c r="K127" s="12">
        <v>0.5</v>
      </c>
      <c r="L127" s="12"/>
      <c r="M127" s="64">
        <v>1</v>
      </c>
      <c r="N127" s="12">
        <v>1</v>
      </c>
      <c r="O127" s="12"/>
      <c r="P127" s="12">
        <v>0</v>
      </c>
      <c r="Q127" s="12">
        <v>1</v>
      </c>
      <c r="R127" s="12"/>
      <c r="S127" s="12">
        <v>0</v>
      </c>
      <c r="T127" s="12">
        <v>0.5</v>
      </c>
      <c r="U127" s="12"/>
      <c r="V127" s="12"/>
      <c r="W127" s="7"/>
      <c r="X127" s="12"/>
      <c r="Y127" s="7"/>
      <c r="Z127" s="7">
        <v>9</v>
      </c>
      <c r="AA127" s="7">
        <v>0.75</v>
      </c>
      <c r="AB127" s="7"/>
      <c r="AC127" s="7"/>
      <c r="AD127" s="4"/>
      <c r="AE127" s="4"/>
      <c r="AF127" s="4"/>
      <c r="AG127" s="4"/>
      <c r="AH127" s="9"/>
      <c r="AI127" s="9"/>
      <c r="AJ127" s="9"/>
      <c r="AK127" s="9" t="s">
        <v>30</v>
      </c>
      <c r="AL127" s="10"/>
      <c r="AM127" s="10"/>
      <c r="AN127" s="10"/>
      <c r="AO127" s="10"/>
      <c r="AP127" s="10"/>
      <c r="AQ127" s="11"/>
      <c r="AR127" s="4"/>
      <c r="AS127" s="10" t="s">
        <v>877</v>
      </c>
      <c r="AT127" s="10"/>
      <c r="AU127" s="10"/>
      <c r="AV127" s="10"/>
      <c r="AW127" s="10"/>
      <c r="AX127" s="10"/>
      <c r="AY127" s="10"/>
      <c r="AZ127" s="10"/>
      <c r="BA127" s="10"/>
      <c r="BB127" s="10"/>
      <c r="BC127" s="10"/>
      <c r="BD127" s="10"/>
    </row>
    <row r="128" spans="1:56" ht="90" x14ac:dyDescent="0.25">
      <c r="A128" s="4" t="s">
        <v>547</v>
      </c>
      <c r="B128" s="4"/>
      <c r="C128" s="4" t="s">
        <v>70</v>
      </c>
      <c r="D128" s="4" t="s">
        <v>23</v>
      </c>
      <c r="E128" s="5" t="s">
        <v>34</v>
      </c>
      <c r="F128" s="4" t="s">
        <v>548</v>
      </c>
      <c r="G128" s="4" t="s">
        <v>26</v>
      </c>
      <c r="H128" s="62" t="s">
        <v>1029</v>
      </c>
      <c r="I128" s="12" t="s">
        <v>835</v>
      </c>
      <c r="J128" s="12">
        <v>49.71</v>
      </c>
      <c r="K128" s="12">
        <v>0.75</v>
      </c>
      <c r="L128" s="12" t="s">
        <v>836</v>
      </c>
      <c r="M128" s="64">
        <v>0.393293</v>
      </c>
      <c r="N128" s="12">
        <v>0.75</v>
      </c>
      <c r="O128" s="8">
        <f>2454*0.277777777</f>
        <v>681.66666475800002</v>
      </c>
      <c r="P128" s="8">
        <f>2454*0.277777777</f>
        <v>681.66666475800002</v>
      </c>
      <c r="Q128" s="12">
        <v>0.75</v>
      </c>
      <c r="R128" s="12"/>
      <c r="S128" s="12">
        <v>0</v>
      </c>
      <c r="T128" s="12">
        <v>0.75</v>
      </c>
      <c r="U128" s="12"/>
      <c r="V128" s="12"/>
      <c r="W128" s="7"/>
      <c r="X128" s="12">
        <f>0.006*Mission_Duration</f>
        <v>3.6</v>
      </c>
      <c r="Y128" s="7" t="s">
        <v>549</v>
      </c>
      <c r="Z128" s="7">
        <v>9</v>
      </c>
      <c r="AA128" s="7">
        <v>1</v>
      </c>
      <c r="AB128" s="8">
        <f>1/(1.2*10^-6)</f>
        <v>833333.33333333337</v>
      </c>
      <c r="AC128" s="7">
        <v>0.75</v>
      </c>
      <c r="AD128" s="4"/>
      <c r="AE128" s="4"/>
      <c r="AF128" s="4"/>
      <c r="AG128" s="4"/>
      <c r="AH128" s="9"/>
      <c r="AI128" s="9"/>
      <c r="AJ128" s="9"/>
      <c r="AK128" s="9" t="s">
        <v>30</v>
      </c>
      <c r="AL128" s="10"/>
      <c r="AM128" s="10"/>
      <c r="AN128" s="10"/>
      <c r="AO128" s="10"/>
      <c r="AP128" s="10"/>
      <c r="AQ128" s="11" t="s">
        <v>550</v>
      </c>
      <c r="AR128" s="4" t="s">
        <v>32</v>
      </c>
      <c r="AS128" s="10" t="s">
        <v>944</v>
      </c>
      <c r="AT128" s="10" t="s">
        <v>945</v>
      </c>
      <c r="AU128" s="10" t="s">
        <v>890</v>
      </c>
      <c r="AV128" s="10" t="s">
        <v>960</v>
      </c>
      <c r="AW128" s="10" t="s">
        <v>905</v>
      </c>
      <c r="AX128" s="10" t="s">
        <v>870</v>
      </c>
      <c r="AY128" s="10"/>
      <c r="AZ128" s="10"/>
      <c r="BA128" s="10"/>
      <c r="BB128" s="10"/>
      <c r="BC128" s="10"/>
      <c r="BD128" s="10"/>
    </row>
    <row r="129" spans="1:56" ht="45" x14ac:dyDescent="0.25">
      <c r="A129" s="4" t="s">
        <v>551</v>
      </c>
      <c r="B129" s="4"/>
      <c r="C129" s="4" t="s">
        <v>70</v>
      </c>
      <c r="D129" s="4" t="s">
        <v>23</v>
      </c>
      <c r="E129" s="5" t="s">
        <v>34</v>
      </c>
      <c r="F129" s="4" t="s">
        <v>552</v>
      </c>
      <c r="G129" s="4" t="s">
        <v>26</v>
      </c>
      <c r="H129" s="4" t="s">
        <v>553</v>
      </c>
      <c r="I129" s="12" t="s">
        <v>757</v>
      </c>
      <c r="J129" s="12">
        <v>54.45</v>
      </c>
      <c r="K129" s="12">
        <v>1</v>
      </c>
      <c r="L129" s="12" t="s">
        <v>758</v>
      </c>
      <c r="M129" s="64">
        <v>0.108</v>
      </c>
      <c r="N129" s="12">
        <v>0.75</v>
      </c>
      <c r="O129" s="12"/>
      <c r="P129" s="12"/>
      <c r="Q129" s="12"/>
      <c r="R129" s="12"/>
      <c r="S129" s="12"/>
      <c r="T129" s="12"/>
      <c r="U129" s="12">
        <v>33.759</v>
      </c>
      <c r="V129" s="12">
        <v>33.759</v>
      </c>
      <c r="W129" s="7"/>
      <c r="X129" s="12"/>
      <c r="Y129" s="7" t="str">
        <f>Y128</f>
        <v>8
9</v>
      </c>
      <c r="Z129" s="7"/>
      <c r="AA129" s="7"/>
      <c r="AB129" s="7"/>
      <c r="AC129" s="7"/>
      <c r="AD129" s="4"/>
      <c r="AE129" s="4"/>
      <c r="AF129" s="4"/>
      <c r="AG129" s="4"/>
      <c r="AH129" s="9"/>
      <c r="AI129" s="9"/>
      <c r="AJ129" s="9"/>
      <c r="AK129" s="9" t="s">
        <v>30</v>
      </c>
      <c r="AL129" s="10"/>
      <c r="AM129" s="10"/>
      <c r="AN129" s="10"/>
      <c r="AO129" s="10"/>
      <c r="AP129" s="10"/>
      <c r="AQ129" s="11" t="s">
        <v>554</v>
      </c>
      <c r="AR129" s="4" t="s">
        <v>32</v>
      </c>
      <c r="AS129" s="10" t="s">
        <v>944</v>
      </c>
      <c r="AT129" s="10" t="s">
        <v>945</v>
      </c>
      <c r="AU129" s="10" t="s">
        <v>890</v>
      </c>
      <c r="AV129" s="10" t="s">
        <v>903</v>
      </c>
      <c r="AW129" s="10" t="s">
        <v>905</v>
      </c>
      <c r="AX129" s="10"/>
      <c r="AY129" s="10"/>
      <c r="AZ129" s="10"/>
      <c r="BA129" s="10"/>
      <c r="BB129" s="10"/>
      <c r="BC129" s="10"/>
      <c r="BD129" s="10">
        <v>101</v>
      </c>
    </row>
    <row r="130" spans="1:56" ht="60" x14ac:dyDescent="0.25">
      <c r="A130" s="4" t="s">
        <v>555</v>
      </c>
      <c r="B130" s="4"/>
      <c r="C130" s="4" t="s">
        <v>70</v>
      </c>
      <c r="D130" s="4" t="s">
        <v>23</v>
      </c>
      <c r="E130" s="5" t="s">
        <v>34</v>
      </c>
      <c r="F130" s="4" t="s">
        <v>548</v>
      </c>
      <c r="G130" s="4" t="s">
        <v>26</v>
      </c>
      <c r="H130" s="62" t="s">
        <v>556</v>
      </c>
      <c r="I130" s="12">
        <v>7.45</v>
      </c>
      <c r="J130" s="12">
        <v>7.4526000000000003</v>
      </c>
      <c r="K130" s="12">
        <v>0.75</v>
      </c>
      <c r="L130" s="12">
        <v>7.0800000000000004E-3</v>
      </c>
      <c r="M130" s="64">
        <v>7.0800000000000004E-3</v>
      </c>
      <c r="N130" s="12">
        <v>0.75</v>
      </c>
      <c r="O130" s="12"/>
      <c r="P130" s="12"/>
      <c r="Q130" s="12"/>
      <c r="R130" s="65" t="s">
        <v>1113</v>
      </c>
      <c r="S130" s="12">
        <v>6.8</v>
      </c>
      <c r="T130" s="12">
        <v>0.75</v>
      </c>
      <c r="U130" s="12"/>
      <c r="V130" s="12"/>
      <c r="W130" s="7"/>
      <c r="X130" s="12"/>
      <c r="Y130" s="7" t="str">
        <f>Y128</f>
        <v>8
9</v>
      </c>
      <c r="Z130" s="7"/>
      <c r="AA130" s="7"/>
      <c r="AB130" s="8">
        <f>1/(3.04*10^-5)</f>
        <v>32894.73684210526</v>
      </c>
      <c r="AC130" s="7"/>
      <c r="AD130" s="4"/>
      <c r="AE130" s="4"/>
      <c r="AF130" s="4"/>
      <c r="AG130" s="4"/>
      <c r="AH130" s="9"/>
      <c r="AI130" s="9"/>
      <c r="AJ130" s="9"/>
      <c r="AK130" s="9" t="s">
        <v>30</v>
      </c>
      <c r="AL130" s="10"/>
      <c r="AM130" s="10"/>
      <c r="AN130" s="10"/>
      <c r="AO130" s="10"/>
      <c r="AP130" s="10"/>
      <c r="AQ130" s="11" t="s">
        <v>557</v>
      </c>
      <c r="AR130" s="4" t="s">
        <v>32</v>
      </c>
      <c r="AS130" s="10" t="s">
        <v>945</v>
      </c>
      <c r="AT130" s="10" t="s">
        <v>890</v>
      </c>
      <c r="AU130" s="10" t="s">
        <v>903</v>
      </c>
      <c r="AV130" s="10"/>
      <c r="AW130" s="10"/>
      <c r="AX130" s="10"/>
      <c r="AY130" s="10"/>
      <c r="AZ130" s="10"/>
      <c r="BA130" s="10"/>
      <c r="BB130" s="10"/>
      <c r="BC130" s="10"/>
      <c r="BD130" s="10"/>
    </row>
    <row r="131" spans="1:56" ht="45" x14ac:dyDescent="0.25">
      <c r="A131" s="4" t="s">
        <v>558</v>
      </c>
      <c r="B131" s="4"/>
      <c r="C131" s="4" t="s">
        <v>70</v>
      </c>
      <c r="D131" s="4" t="s">
        <v>101</v>
      </c>
      <c r="E131" s="5" t="s">
        <v>34</v>
      </c>
      <c r="F131" s="4" t="s">
        <v>548</v>
      </c>
      <c r="G131" s="4" t="s">
        <v>26</v>
      </c>
      <c r="H131" s="62" t="s">
        <v>1036</v>
      </c>
      <c r="I131" s="12">
        <v>0.26300000000000001</v>
      </c>
      <c r="J131" s="12">
        <v>0.26300000000000001</v>
      </c>
      <c r="K131" s="12">
        <v>0.75</v>
      </c>
      <c r="L131" s="12" t="s">
        <v>837</v>
      </c>
      <c r="M131" s="64">
        <v>1.4159999999999999E-3</v>
      </c>
      <c r="N131" s="12">
        <v>0.75</v>
      </c>
      <c r="O131" s="12"/>
      <c r="P131" s="12"/>
      <c r="Q131" s="12"/>
      <c r="R131" s="12">
        <v>1E-3</v>
      </c>
      <c r="S131" s="12">
        <v>1E-3</v>
      </c>
      <c r="T131" s="12">
        <v>0.75</v>
      </c>
      <c r="U131" s="12"/>
      <c r="V131" s="12"/>
      <c r="W131" s="7"/>
      <c r="X131" s="12"/>
      <c r="Y131" s="7" t="str">
        <f>Y128</f>
        <v>8
9</v>
      </c>
      <c r="Z131" s="7"/>
      <c r="AA131" s="7"/>
      <c r="AB131" s="8">
        <f>1/(2.66*10^-5)</f>
        <v>37593.984962406008</v>
      </c>
      <c r="AC131" s="7"/>
      <c r="AD131" s="4"/>
      <c r="AE131" s="4"/>
      <c r="AF131" s="4"/>
      <c r="AG131" s="4"/>
      <c r="AH131" s="9"/>
      <c r="AI131" s="9"/>
      <c r="AJ131" s="9"/>
      <c r="AK131" s="9" t="s">
        <v>30</v>
      </c>
      <c r="AL131" s="10"/>
      <c r="AM131" s="10"/>
      <c r="AN131" s="10"/>
      <c r="AO131" s="10"/>
      <c r="AP131" s="10"/>
      <c r="AQ131" s="11">
        <v>23</v>
      </c>
      <c r="AR131" s="4" t="s">
        <v>32</v>
      </c>
      <c r="AS131" s="10" t="s">
        <v>944</v>
      </c>
      <c r="AT131" s="10" t="s">
        <v>945</v>
      </c>
      <c r="AU131" s="10"/>
      <c r="AV131" s="10"/>
      <c r="AW131" s="10"/>
      <c r="AX131" s="10"/>
      <c r="AY131" s="10"/>
      <c r="AZ131" s="10"/>
      <c r="BA131" s="10"/>
      <c r="BB131" s="10"/>
      <c r="BC131" s="10"/>
      <c r="BD131" s="10"/>
    </row>
    <row r="132" spans="1:56" ht="30" x14ac:dyDescent="0.25">
      <c r="A132" s="4" t="s">
        <v>559</v>
      </c>
      <c r="B132" s="4"/>
      <c r="C132" s="4" t="s">
        <v>70</v>
      </c>
      <c r="D132" s="4" t="s">
        <v>101</v>
      </c>
      <c r="E132" s="5" t="s">
        <v>34</v>
      </c>
      <c r="F132" s="4" t="s">
        <v>552</v>
      </c>
      <c r="G132" s="4" t="s">
        <v>26</v>
      </c>
      <c r="H132" s="62" t="s">
        <v>560</v>
      </c>
      <c r="I132" s="12">
        <v>0.63500000000000001</v>
      </c>
      <c r="J132" s="12">
        <v>0.63500000000000001</v>
      </c>
      <c r="K132" s="12">
        <v>0.75</v>
      </c>
      <c r="L132" s="12">
        <v>5.6599999999999999E-4</v>
      </c>
      <c r="M132" s="74">
        <v>5.6599999999999999E-4</v>
      </c>
      <c r="N132" s="45">
        <v>0.75</v>
      </c>
      <c r="O132" s="12"/>
      <c r="P132" s="12"/>
      <c r="Q132" s="12"/>
      <c r="R132" s="12">
        <v>8.9999999999999993E-3</v>
      </c>
      <c r="S132" s="12">
        <v>8.9999999999999993E-3</v>
      </c>
      <c r="T132" s="12">
        <v>0.75</v>
      </c>
      <c r="U132" s="12"/>
      <c r="V132" s="12"/>
      <c r="W132" s="7"/>
      <c r="X132" s="12"/>
      <c r="Y132" s="7" t="str">
        <f>Y128</f>
        <v>8
9</v>
      </c>
      <c r="Z132" s="7"/>
      <c r="AA132" s="7"/>
      <c r="AB132" s="8">
        <f>1/(8.8*10^-7)</f>
        <v>1136363.6363636362</v>
      </c>
      <c r="AC132" s="7"/>
      <c r="AD132" s="4"/>
      <c r="AE132" s="4"/>
      <c r="AF132" s="4"/>
      <c r="AG132" s="4"/>
      <c r="AH132" s="9"/>
      <c r="AI132" s="9"/>
      <c r="AJ132" s="9"/>
      <c r="AK132" s="9" t="s">
        <v>30</v>
      </c>
      <c r="AL132" s="10"/>
      <c r="AM132" s="10"/>
      <c r="AN132" s="10"/>
      <c r="AO132" s="10"/>
      <c r="AP132" s="10"/>
      <c r="AQ132" s="11" t="s">
        <v>557</v>
      </c>
      <c r="AR132" s="4" t="s">
        <v>32</v>
      </c>
      <c r="AS132" s="10"/>
      <c r="AT132" s="10"/>
      <c r="AU132" s="10"/>
      <c r="AV132" s="10"/>
      <c r="AW132" s="10"/>
      <c r="AX132" s="10"/>
      <c r="AY132" s="10"/>
      <c r="AZ132" s="10"/>
      <c r="BA132" s="10"/>
      <c r="BB132" s="10"/>
      <c r="BC132" s="10"/>
      <c r="BD132" s="10"/>
    </row>
    <row r="133" spans="1:56" ht="30" x14ac:dyDescent="0.25">
      <c r="A133" s="4" t="s">
        <v>561</v>
      </c>
      <c r="B133" s="4"/>
      <c r="C133" s="4" t="s">
        <v>70</v>
      </c>
      <c r="D133" s="4" t="s">
        <v>23</v>
      </c>
      <c r="E133" s="5" t="s">
        <v>34</v>
      </c>
      <c r="F133" s="4" t="s">
        <v>552</v>
      </c>
      <c r="G133" s="4" t="s">
        <v>26</v>
      </c>
      <c r="H133" s="62" t="s">
        <v>1037</v>
      </c>
      <c r="I133" s="12">
        <v>11.93</v>
      </c>
      <c r="J133" s="12">
        <v>11.93</v>
      </c>
      <c r="K133" s="12">
        <v>0.75</v>
      </c>
      <c r="L133" s="12">
        <v>5.8285000000000003E-2</v>
      </c>
      <c r="M133" s="64">
        <v>5.8285000000000003E-2</v>
      </c>
      <c r="N133" s="12">
        <v>0.75</v>
      </c>
      <c r="O133" s="12"/>
      <c r="P133" s="12">
        <f>technologies[[#This Row],[Power]]*0.1</f>
        <v>4.6360000000000001</v>
      </c>
      <c r="Q133" s="12">
        <v>0.25</v>
      </c>
      <c r="R133" s="12">
        <v>46.36</v>
      </c>
      <c r="S133" s="12">
        <f>46.36</f>
        <v>46.36</v>
      </c>
      <c r="T133" s="12">
        <v>0.75</v>
      </c>
      <c r="U133" s="12"/>
      <c r="V133" s="12"/>
      <c r="W133" s="7"/>
      <c r="X133" s="12"/>
      <c r="Y133" s="7" t="str">
        <f>Y128</f>
        <v>8
9</v>
      </c>
      <c r="Z133" s="7">
        <v>9</v>
      </c>
      <c r="AA133" s="7">
        <v>1</v>
      </c>
      <c r="AB133" s="8">
        <f>1/(7.65*10^-6)</f>
        <v>130718.95424836602</v>
      </c>
      <c r="AC133" s="7">
        <v>0.75</v>
      </c>
      <c r="AD133" s="4"/>
      <c r="AE133" s="4"/>
      <c r="AF133" s="4"/>
      <c r="AG133" s="4"/>
      <c r="AH133" s="9"/>
      <c r="AI133" s="9"/>
      <c r="AJ133" s="9"/>
      <c r="AK133" s="9" t="s">
        <v>30</v>
      </c>
      <c r="AL133" s="10"/>
      <c r="AM133" s="10"/>
      <c r="AN133" s="10"/>
      <c r="AO133" s="10"/>
      <c r="AP133" s="10"/>
      <c r="AQ133" s="11">
        <v>23</v>
      </c>
      <c r="AR133" s="4" t="s">
        <v>32</v>
      </c>
      <c r="AS133" s="10" t="s">
        <v>905</v>
      </c>
      <c r="AT133" s="10"/>
      <c r="AU133" s="10"/>
      <c r="AV133" s="10"/>
      <c r="AW133" s="10"/>
      <c r="AX133" s="10"/>
      <c r="AY133" s="10"/>
      <c r="AZ133" s="10"/>
      <c r="BA133" s="10"/>
      <c r="BB133" s="10"/>
      <c r="BC133" s="10"/>
      <c r="BD133" s="10"/>
    </row>
    <row r="134" spans="1:56" ht="45" x14ac:dyDescent="0.25">
      <c r="A134" s="4" t="s">
        <v>562</v>
      </c>
      <c r="B134" s="4"/>
      <c r="C134" s="4" t="s">
        <v>70</v>
      </c>
      <c r="D134" s="4" t="s">
        <v>101</v>
      </c>
      <c r="E134" s="5" t="s">
        <v>34</v>
      </c>
      <c r="F134" s="4" t="s">
        <v>563</v>
      </c>
      <c r="G134" s="4" t="s">
        <v>26</v>
      </c>
      <c r="H134" s="62" t="s">
        <v>564</v>
      </c>
      <c r="I134" s="12" t="s">
        <v>1030</v>
      </c>
      <c r="J134" s="12">
        <v>1.66</v>
      </c>
      <c r="K134" s="12">
        <v>0.75</v>
      </c>
      <c r="L134" s="12" t="s">
        <v>1031</v>
      </c>
      <c r="M134" s="64">
        <v>5.6999999999999998E-4</v>
      </c>
      <c r="N134" s="12">
        <v>1</v>
      </c>
      <c r="O134" s="12"/>
      <c r="P134" s="12"/>
      <c r="Q134" s="12"/>
      <c r="R134" s="12" t="s">
        <v>1114</v>
      </c>
      <c r="S134" s="12">
        <v>0.24</v>
      </c>
      <c r="T134" s="12">
        <v>1</v>
      </c>
      <c r="U134" s="12"/>
      <c r="V134" s="12"/>
      <c r="W134" s="7"/>
      <c r="X134" s="12"/>
      <c r="Y134" s="7"/>
      <c r="Z134" s="7"/>
      <c r="AA134" s="7"/>
      <c r="AB134" s="7">
        <f>1/(8*10^-7)</f>
        <v>1250000</v>
      </c>
      <c r="AC134" s="7"/>
      <c r="AD134" s="4"/>
      <c r="AE134" s="4"/>
      <c r="AF134" s="4"/>
      <c r="AG134" s="4"/>
      <c r="AH134" s="9"/>
      <c r="AI134" s="9"/>
      <c r="AJ134" s="9"/>
      <c r="AK134" s="9" t="s">
        <v>30</v>
      </c>
      <c r="AL134" s="10"/>
      <c r="AM134" s="10"/>
      <c r="AN134" s="10"/>
      <c r="AO134" s="10"/>
      <c r="AP134" s="10"/>
      <c r="AQ134" s="11" t="s">
        <v>557</v>
      </c>
      <c r="AR134" s="4" t="s">
        <v>32</v>
      </c>
      <c r="AS134" s="10"/>
      <c r="AT134" s="10"/>
      <c r="AU134" s="10"/>
      <c r="AV134" s="10"/>
      <c r="AW134" s="10"/>
      <c r="AX134" s="10"/>
      <c r="AY134" s="10"/>
      <c r="AZ134" s="10"/>
      <c r="BA134" s="10"/>
      <c r="BB134" s="10"/>
      <c r="BC134" s="10"/>
      <c r="BD134" s="10"/>
    </row>
    <row r="135" spans="1:56" ht="30" x14ac:dyDescent="0.25">
      <c r="A135" s="4" t="s">
        <v>565</v>
      </c>
      <c r="B135" s="4"/>
      <c r="C135" s="4" t="s">
        <v>70</v>
      </c>
      <c r="D135" s="4" t="s">
        <v>23</v>
      </c>
      <c r="E135" s="5" t="s">
        <v>34</v>
      </c>
      <c r="F135" s="4" t="s">
        <v>552</v>
      </c>
      <c r="G135" s="4" t="s">
        <v>26</v>
      </c>
      <c r="H135" s="62" t="s">
        <v>566</v>
      </c>
      <c r="I135" s="12">
        <v>4.0369999999999999</v>
      </c>
      <c r="J135" s="12">
        <v>4.0369999999999999</v>
      </c>
      <c r="K135" s="12">
        <v>0.75</v>
      </c>
      <c r="L135" s="12">
        <v>1.7274999999999999E-2</v>
      </c>
      <c r="M135" s="64">
        <v>1.7274999999999999E-2</v>
      </c>
      <c r="N135" s="12">
        <v>0.75</v>
      </c>
      <c r="O135" s="12"/>
      <c r="P135" s="12"/>
      <c r="Q135" s="12"/>
      <c r="R135" s="12">
        <v>8</v>
      </c>
      <c r="S135" s="12">
        <v>8</v>
      </c>
      <c r="T135" s="12">
        <v>0.75</v>
      </c>
      <c r="U135" s="12"/>
      <c r="V135" s="12"/>
      <c r="W135" s="7"/>
      <c r="X135" s="12"/>
      <c r="Y135" s="7" t="str">
        <f>Y128</f>
        <v>8
9</v>
      </c>
      <c r="Z135" s="7"/>
      <c r="AA135" s="7"/>
      <c r="AB135" s="8">
        <f>1/(4.25*10^-7)</f>
        <v>2352941.1764705884</v>
      </c>
      <c r="AC135" s="18"/>
      <c r="AD135" s="4"/>
      <c r="AE135" s="4"/>
      <c r="AF135" s="4"/>
      <c r="AG135" s="4"/>
      <c r="AH135" s="9"/>
      <c r="AI135" s="9"/>
      <c r="AJ135" s="9"/>
      <c r="AK135" s="9" t="s">
        <v>30</v>
      </c>
      <c r="AL135" s="10"/>
      <c r="AM135" s="10"/>
      <c r="AN135" s="10"/>
      <c r="AO135" s="10"/>
      <c r="AP135" s="10"/>
      <c r="AQ135" s="11" t="s">
        <v>557</v>
      </c>
      <c r="AR135" s="4" t="s">
        <v>32</v>
      </c>
      <c r="AS135" s="10"/>
      <c r="AT135" s="10"/>
      <c r="AU135" s="10"/>
      <c r="AV135" s="10"/>
      <c r="AW135" s="10"/>
      <c r="AX135" s="10"/>
      <c r="AY135" s="10"/>
      <c r="AZ135" s="10"/>
      <c r="BA135" s="10"/>
      <c r="BB135" s="10"/>
      <c r="BC135" s="10"/>
      <c r="BD135" s="10"/>
    </row>
    <row r="136" spans="1:56" ht="45" x14ac:dyDescent="0.25">
      <c r="A136" s="4" t="s">
        <v>567</v>
      </c>
      <c r="B136" s="4"/>
      <c r="C136" s="4" t="s">
        <v>70</v>
      </c>
      <c r="D136" s="4" t="s">
        <v>23</v>
      </c>
      <c r="E136" s="5" t="s">
        <v>34</v>
      </c>
      <c r="F136" s="4" t="s">
        <v>568</v>
      </c>
      <c r="G136" s="4" t="s">
        <v>26</v>
      </c>
      <c r="H136" s="62" t="s">
        <v>762</v>
      </c>
      <c r="I136" s="12">
        <v>9.1999999999999993</v>
      </c>
      <c r="J136" s="12">
        <v>9.1999999999999993</v>
      </c>
      <c r="K136" s="12">
        <v>0.75</v>
      </c>
      <c r="L136" s="12">
        <v>9.2999999999999992E-3</v>
      </c>
      <c r="M136" s="64">
        <f>0.0093</f>
        <v>9.2999999999999992E-3</v>
      </c>
      <c r="N136" s="12">
        <v>0.75</v>
      </c>
      <c r="O136" s="12"/>
      <c r="P136" s="12">
        <v>0</v>
      </c>
      <c r="Q136" s="12">
        <v>0.25</v>
      </c>
      <c r="R136" s="12" t="s">
        <v>569</v>
      </c>
      <c r="S136" s="12">
        <v>55</v>
      </c>
      <c r="T136" s="12">
        <v>0.75</v>
      </c>
      <c r="U136" s="12">
        <v>5.7039999999999997</v>
      </c>
      <c r="V136" s="12">
        <v>5.7039999999999997</v>
      </c>
      <c r="W136" s="7"/>
      <c r="X136" s="12"/>
      <c r="Y136" s="7"/>
      <c r="Z136" s="7">
        <v>9</v>
      </c>
      <c r="AA136" s="7">
        <v>1</v>
      </c>
      <c r="AB136" s="8">
        <v>332900</v>
      </c>
      <c r="AC136" s="7"/>
      <c r="AD136" s="4"/>
      <c r="AE136" s="4"/>
      <c r="AF136" s="4"/>
      <c r="AG136" s="4"/>
      <c r="AH136" s="9"/>
      <c r="AI136" s="9"/>
      <c r="AJ136" s="9"/>
      <c r="AK136" s="9" t="s">
        <v>30</v>
      </c>
      <c r="AL136" s="10"/>
      <c r="AM136" s="10"/>
      <c r="AN136" s="10"/>
      <c r="AO136" s="10"/>
      <c r="AP136" s="10"/>
      <c r="AQ136" s="11">
        <v>23</v>
      </c>
      <c r="AR136" s="4" t="s">
        <v>32</v>
      </c>
      <c r="AS136" s="10"/>
      <c r="AT136" s="10"/>
      <c r="AU136" s="10" t="s">
        <v>892</v>
      </c>
      <c r="AV136" s="10" t="s">
        <v>866</v>
      </c>
      <c r="AW136" s="10" t="s">
        <v>868</v>
      </c>
      <c r="AX136" s="10"/>
      <c r="AY136" s="10"/>
      <c r="AZ136" s="10"/>
      <c r="BA136" s="10"/>
      <c r="BB136" s="10"/>
      <c r="BC136" s="10"/>
      <c r="BD136" s="10"/>
    </row>
    <row r="137" spans="1:56" ht="75" x14ac:dyDescent="0.25">
      <c r="A137" s="4" t="s">
        <v>570</v>
      </c>
      <c r="B137" s="4" t="s">
        <v>568</v>
      </c>
      <c r="C137" s="4" t="s">
        <v>70</v>
      </c>
      <c r="D137" s="4" t="s">
        <v>23</v>
      </c>
      <c r="E137" s="5" t="s">
        <v>34</v>
      </c>
      <c r="F137" s="4"/>
      <c r="G137" s="4" t="s">
        <v>35</v>
      </c>
      <c r="H137" s="62" t="s">
        <v>571</v>
      </c>
      <c r="I137" s="12"/>
      <c r="J137" s="12">
        <f>J136+J138+J351</f>
        <v>14.299999999999999</v>
      </c>
      <c r="K137" s="12">
        <v>0.75</v>
      </c>
      <c r="L137" s="12"/>
      <c r="M137" s="64">
        <f>M136+M138+M351</f>
        <v>1.9200000000000002E-2</v>
      </c>
      <c r="N137" s="12">
        <v>0.75</v>
      </c>
      <c r="O137" s="12"/>
      <c r="P137" s="12"/>
      <c r="Q137" s="12"/>
      <c r="R137" s="12"/>
      <c r="S137" s="12">
        <f>S138+S136</f>
        <v>61</v>
      </c>
      <c r="T137" s="12">
        <v>0.75</v>
      </c>
      <c r="U137" s="12">
        <v>8.8659999999999997</v>
      </c>
      <c r="V137" s="12">
        <v>8.8659999999999997</v>
      </c>
      <c r="W137" s="7"/>
      <c r="X137" s="12"/>
      <c r="Y137" s="7"/>
      <c r="Z137" s="7">
        <v>9</v>
      </c>
      <c r="AA137" s="7">
        <v>1</v>
      </c>
      <c r="AB137" s="7"/>
      <c r="AC137" s="7"/>
      <c r="AD137" s="4"/>
      <c r="AE137" s="4"/>
      <c r="AF137" s="4"/>
      <c r="AG137" s="4"/>
      <c r="AH137" s="9"/>
      <c r="AI137" s="9"/>
      <c r="AJ137" s="9"/>
      <c r="AK137" s="9" t="s">
        <v>30</v>
      </c>
      <c r="AL137" s="10"/>
      <c r="AM137" s="10"/>
      <c r="AN137" s="10"/>
      <c r="AO137" s="10"/>
      <c r="AP137" s="10"/>
      <c r="AQ137" s="11">
        <v>23</v>
      </c>
      <c r="AR137" s="4" t="s">
        <v>32</v>
      </c>
      <c r="AS137" s="10"/>
      <c r="AT137" s="10"/>
      <c r="AU137" s="10" t="s">
        <v>892</v>
      </c>
      <c r="AV137" s="10" t="s">
        <v>866</v>
      </c>
      <c r="AW137" s="10" t="s">
        <v>868</v>
      </c>
      <c r="AX137" s="10"/>
      <c r="AY137" s="10"/>
      <c r="AZ137" s="10"/>
      <c r="BA137" s="10"/>
      <c r="BB137" s="10"/>
      <c r="BC137" s="10"/>
      <c r="BD137" s="10"/>
    </row>
    <row r="138" spans="1:56" ht="60" x14ac:dyDescent="0.25">
      <c r="A138" s="4" t="s">
        <v>572</v>
      </c>
      <c r="B138" s="4"/>
      <c r="C138" s="4" t="s">
        <v>70</v>
      </c>
      <c r="D138" s="4" t="s">
        <v>23</v>
      </c>
      <c r="E138" s="5" t="s">
        <v>34</v>
      </c>
      <c r="F138" s="4" t="s">
        <v>568</v>
      </c>
      <c r="G138" s="4" t="s">
        <v>26</v>
      </c>
      <c r="H138" s="62" t="s">
        <v>573</v>
      </c>
      <c r="I138" s="12" t="s">
        <v>838</v>
      </c>
      <c r="J138" s="12">
        <f>5.1</f>
        <v>5.0999999999999996</v>
      </c>
      <c r="K138" s="12">
        <v>0.75</v>
      </c>
      <c r="L138" s="12" t="s">
        <v>1032</v>
      </c>
      <c r="M138" s="64">
        <f>0.0099</f>
        <v>9.9000000000000008E-3</v>
      </c>
      <c r="N138" s="12">
        <v>0.75</v>
      </c>
      <c r="O138" s="12"/>
      <c r="P138" s="12"/>
      <c r="Q138" s="12"/>
      <c r="R138" s="12" t="s">
        <v>1115</v>
      </c>
      <c r="S138" s="12">
        <v>6</v>
      </c>
      <c r="T138" s="12">
        <v>0.75</v>
      </c>
      <c r="U138" s="12">
        <v>3.1619999999999999</v>
      </c>
      <c r="V138" s="12">
        <v>3.1619999999999999</v>
      </c>
      <c r="W138" s="7"/>
      <c r="X138" s="12"/>
      <c r="Y138" s="7"/>
      <c r="Z138" s="7"/>
      <c r="AA138" s="7"/>
      <c r="AB138" s="8">
        <v>167000</v>
      </c>
      <c r="AC138" s="7"/>
      <c r="AD138" s="4"/>
      <c r="AE138" s="4"/>
      <c r="AF138" s="4"/>
      <c r="AG138" s="4"/>
      <c r="AH138" s="9"/>
      <c r="AI138" s="9"/>
      <c r="AJ138" s="9"/>
      <c r="AK138" s="9" t="s">
        <v>30</v>
      </c>
      <c r="AL138" s="10"/>
      <c r="AM138" s="10"/>
      <c r="AN138" s="10"/>
      <c r="AO138" s="10"/>
      <c r="AP138" s="10"/>
      <c r="AQ138" s="11">
        <v>23</v>
      </c>
      <c r="AR138" s="4" t="s">
        <v>32</v>
      </c>
      <c r="AS138" s="10"/>
      <c r="AT138" s="10"/>
      <c r="AU138" s="10"/>
      <c r="AV138" s="10"/>
      <c r="AW138" s="10"/>
      <c r="AX138" s="10"/>
      <c r="AY138" s="10"/>
      <c r="AZ138" s="10"/>
      <c r="BA138" s="10"/>
      <c r="BB138" s="10"/>
      <c r="BC138" s="10"/>
      <c r="BD138" s="10"/>
    </row>
    <row r="139" spans="1:56" ht="75" x14ac:dyDescent="0.25">
      <c r="A139" s="4" t="s">
        <v>574</v>
      </c>
      <c r="B139" s="4"/>
      <c r="C139" s="4" t="s">
        <v>70</v>
      </c>
      <c r="D139" s="4" t="s">
        <v>23</v>
      </c>
      <c r="E139" s="5" t="s">
        <v>34</v>
      </c>
      <c r="F139" s="4" t="s">
        <v>552</v>
      </c>
      <c r="G139" s="4" t="s">
        <v>26</v>
      </c>
      <c r="H139" s="62" t="s">
        <v>575</v>
      </c>
      <c r="I139" s="12" t="s">
        <v>761</v>
      </c>
      <c r="J139" s="12">
        <v>25.3</v>
      </c>
      <c r="K139" s="12">
        <v>0.75</v>
      </c>
      <c r="L139" s="12">
        <v>0.13020000000000001</v>
      </c>
      <c r="M139" s="64">
        <v>0.13020000000000001</v>
      </c>
      <c r="N139" s="12">
        <v>0.75</v>
      </c>
      <c r="O139" s="12"/>
      <c r="P139" s="12"/>
      <c r="Q139" s="12"/>
      <c r="R139" s="12">
        <v>180</v>
      </c>
      <c r="S139" s="12">
        <v>180</v>
      </c>
      <c r="T139" s="12">
        <v>0.75</v>
      </c>
      <c r="U139" s="12">
        <v>15.686</v>
      </c>
      <c r="V139" s="12">
        <v>15.686</v>
      </c>
      <c r="W139" s="7"/>
      <c r="X139" s="12"/>
      <c r="Y139" s="7" t="str">
        <f>Y128</f>
        <v>8
9</v>
      </c>
      <c r="Z139" s="7"/>
      <c r="AA139" s="7"/>
      <c r="AB139" s="8">
        <f>1/(3*10^-6)</f>
        <v>333333.33333333331</v>
      </c>
      <c r="AC139" s="7"/>
      <c r="AD139" s="4"/>
      <c r="AE139" s="4"/>
      <c r="AF139" s="4"/>
      <c r="AG139" s="4"/>
      <c r="AH139" s="9"/>
      <c r="AI139" s="9"/>
      <c r="AJ139" s="9"/>
      <c r="AK139" s="9" t="s">
        <v>30</v>
      </c>
      <c r="AL139" s="10"/>
      <c r="AM139" s="10"/>
      <c r="AN139" s="10"/>
      <c r="AO139" s="10"/>
      <c r="AP139" s="10"/>
      <c r="AQ139" s="11" t="s">
        <v>576</v>
      </c>
      <c r="AR139" s="4" t="s">
        <v>577</v>
      </c>
      <c r="AS139" s="10" t="s">
        <v>892</v>
      </c>
      <c r="AT139" s="10"/>
      <c r="AU139" s="10"/>
      <c r="AV139" s="10"/>
      <c r="AW139" s="10"/>
      <c r="AX139" s="10"/>
      <c r="AY139" s="10"/>
      <c r="AZ139" s="10"/>
      <c r="BA139" s="10"/>
      <c r="BB139" s="10"/>
      <c r="BC139" s="10"/>
      <c r="BD139" s="10" t="s">
        <v>1116</v>
      </c>
    </row>
    <row r="140" spans="1:56" ht="30" x14ac:dyDescent="0.25">
      <c r="A140" s="4" t="s">
        <v>578</v>
      </c>
      <c r="B140" s="4"/>
      <c r="C140" s="4" t="s">
        <v>70</v>
      </c>
      <c r="D140" s="4" t="s">
        <v>23</v>
      </c>
      <c r="E140" s="5" t="s">
        <v>34</v>
      </c>
      <c r="F140" s="4"/>
      <c r="G140" s="4" t="s">
        <v>26</v>
      </c>
      <c r="H140" s="62" t="s">
        <v>579</v>
      </c>
      <c r="I140" s="12">
        <v>2.7214999999999998</v>
      </c>
      <c r="J140" s="12">
        <v>2.7214999999999998</v>
      </c>
      <c r="K140" s="12">
        <v>0.75</v>
      </c>
      <c r="L140" s="12">
        <v>6.1215000000000002E-3</v>
      </c>
      <c r="M140" s="64">
        <v>6.1215000000000002E-3</v>
      </c>
      <c r="N140" s="12">
        <v>0.75</v>
      </c>
      <c r="O140" s="12"/>
      <c r="P140" s="12"/>
      <c r="Q140" s="12"/>
      <c r="R140" s="12">
        <v>0</v>
      </c>
      <c r="S140" s="12">
        <v>0</v>
      </c>
      <c r="T140" s="12">
        <v>0.75</v>
      </c>
      <c r="U140" s="12"/>
      <c r="V140" s="12"/>
      <c r="W140" s="7"/>
      <c r="X140" s="12"/>
      <c r="Y140" s="7"/>
      <c r="Z140" s="7"/>
      <c r="AA140" s="7"/>
      <c r="AB140" s="7"/>
      <c r="AC140" s="7"/>
      <c r="AD140" s="4"/>
      <c r="AE140" s="4"/>
      <c r="AF140" s="4"/>
      <c r="AG140" s="4"/>
      <c r="AH140" s="9"/>
      <c r="AI140" s="9"/>
      <c r="AJ140" s="9"/>
      <c r="AK140" s="9" t="s">
        <v>30</v>
      </c>
      <c r="AL140" s="10"/>
      <c r="AM140" s="10"/>
      <c r="AN140" s="10"/>
      <c r="AO140" s="10"/>
      <c r="AP140" s="10"/>
      <c r="AQ140" s="11">
        <v>11</v>
      </c>
      <c r="AR140" s="4" t="s">
        <v>32</v>
      </c>
      <c r="AS140" s="10"/>
      <c r="AT140" s="10"/>
      <c r="AU140" s="10"/>
      <c r="AV140" s="10"/>
      <c r="AW140" s="10"/>
      <c r="AX140" s="10"/>
      <c r="AY140" s="10"/>
      <c r="AZ140" s="10"/>
      <c r="BA140" s="10"/>
      <c r="BB140" s="10"/>
      <c r="BC140" s="10"/>
      <c r="BD140" s="10"/>
    </row>
    <row r="141" spans="1:56" ht="30" x14ac:dyDescent="0.25">
      <c r="A141" s="4" t="s">
        <v>81</v>
      </c>
      <c r="B141" s="4"/>
      <c r="C141" s="4" t="s">
        <v>22</v>
      </c>
      <c r="D141" s="4" t="s">
        <v>23</v>
      </c>
      <c r="E141" s="5" t="s">
        <v>34</v>
      </c>
      <c r="F141" s="4" t="s">
        <v>580</v>
      </c>
      <c r="G141" s="4" t="s">
        <v>26</v>
      </c>
      <c r="H141" s="4" t="s">
        <v>1038</v>
      </c>
      <c r="I141" s="12">
        <v>2.2999999999999998</v>
      </c>
      <c r="J141" s="12"/>
      <c r="K141" s="12"/>
      <c r="L141" s="12"/>
      <c r="M141" s="64"/>
      <c r="N141" s="12"/>
      <c r="O141" s="12"/>
      <c r="P141" s="12"/>
      <c r="Q141" s="12"/>
      <c r="R141" s="12"/>
      <c r="S141" s="12"/>
      <c r="T141" s="12"/>
      <c r="U141" s="12"/>
      <c r="V141" s="12"/>
      <c r="W141" s="7"/>
      <c r="X141" s="12"/>
      <c r="Y141" s="7">
        <v>8</v>
      </c>
      <c r="Z141" s="7"/>
      <c r="AA141" s="7"/>
      <c r="AB141" s="7">
        <f>1/(8*10^-6)</f>
        <v>125000</v>
      </c>
      <c r="AC141" s="7"/>
      <c r="AD141" s="4"/>
      <c r="AE141" s="4"/>
      <c r="AF141" s="4"/>
      <c r="AG141" s="4"/>
      <c r="AH141" s="9"/>
      <c r="AI141" s="9"/>
      <c r="AJ141" s="9"/>
      <c r="AK141" s="9" t="s">
        <v>30</v>
      </c>
      <c r="AL141" s="10"/>
      <c r="AM141" s="10"/>
      <c r="AN141" s="10"/>
      <c r="AO141" s="10"/>
      <c r="AP141" s="10"/>
      <c r="AQ141" s="11">
        <v>13</v>
      </c>
      <c r="AR141" s="4"/>
      <c r="AS141" s="10"/>
      <c r="AT141" s="10"/>
      <c r="AU141" s="10"/>
      <c r="AV141" s="10"/>
      <c r="AW141" s="10"/>
      <c r="AX141" s="10"/>
      <c r="AY141" s="10"/>
      <c r="AZ141" s="10"/>
      <c r="BA141" s="10"/>
      <c r="BB141" s="10"/>
      <c r="BC141" s="10"/>
      <c r="BD141" s="10"/>
    </row>
    <row r="142" spans="1:56" ht="30" x14ac:dyDescent="0.25">
      <c r="A142" s="4" t="s">
        <v>581</v>
      </c>
      <c r="B142" s="4"/>
      <c r="C142" s="4" t="s">
        <v>22</v>
      </c>
      <c r="D142" s="4" t="s">
        <v>23</v>
      </c>
      <c r="E142" s="5" t="s">
        <v>34</v>
      </c>
      <c r="F142" s="4" t="s">
        <v>580</v>
      </c>
      <c r="G142" s="4" t="s">
        <v>26</v>
      </c>
      <c r="H142" s="4" t="s">
        <v>1039</v>
      </c>
      <c r="I142" s="12" t="s">
        <v>839</v>
      </c>
      <c r="J142" s="12">
        <f>(17.3+21.32)/2/4</f>
        <v>4.8275000000000006</v>
      </c>
      <c r="K142" s="12">
        <v>1</v>
      </c>
      <c r="L142" s="12" t="s">
        <v>840</v>
      </c>
      <c r="M142" s="64">
        <f>0.04248/4</f>
        <v>1.0619999999999999E-2</v>
      </c>
      <c r="N142" s="12">
        <v>0.75</v>
      </c>
      <c r="O142" s="12"/>
      <c r="P142" s="12">
        <v>0</v>
      </c>
      <c r="Q142" s="12">
        <v>0.75</v>
      </c>
      <c r="R142" s="12"/>
      <c r="S142" s="12">
        <v>0</v>
      </c>
      <c r="T142" s="12">
        <v>0.75</v>
      </c>
      <c r="U142" s="12"/>
      <c r="V142" s="12"/>
      <c r="W142" s="7"/>
      <c r="X142" s="12"/>
      <c r="Y142" s="7"/>
      <c r="Z142" s="7">
        <v>9</v>
      </c>
      <c r="AA142" s="7">
        <v>1</v>
      </c>
      <c r="AB142" s="7">
        <v>77100</v>
      </c>
      <c r="AC142" s="7">
        <v>1</v>
      </c>
      <c r="AD142" s="4"/>
      <c r="AE142" s="4"/>
      <c r="AF142" s="4"/>
      <c r="AG142" s="4"/>
      <c r="AH142" s="9"/>
      <c r="AI142" s="9"/>
      <c r="AJ142" s="9"/>
      <c r="AK142" s="9" t="s">
        <v>30</v>
      </c>
      <c r="AL142" s="10"/>
      <c r="AM142" s="10"/>
      <c r="AN142" s="10"/>
      <c r="AO142" s="10"/>
      <c r="AP142" s="10"/>
      <c r="AQ142" s="11" t="s">
        <v>582</v>
      </c>
      <c r="AR142" s="4"/>
      <c r="AS142" s="10" t="s">
        <v>905</v>
      </c>
      <c r="AT142" s="10"/>
      <c r="AU142" s="10"/>
      <c r="AV142" s="10"/>
      <c r="AW142" s="10"/>
      <c r="AX142" s="10"/>
      <c r="AY142" s="10"/>
      <c r="AZ142" s="10"/>
      <c r="BA142" s="10"/>
      <c r="BB142" s="10"/>
      <c r="BC142" s="10"/>
      <c r="BD142" s="10"/>
    </row>
    <row r="143" spans="1:56" ht="30" x14ac:dyDescent="0.25">
      <c r="A143" s="4" t="s">
        <v>583</v>
      </c>
      <c r="B143" s="4"/>
      <c r="C143" s="4" t="s">
        <v>22</v>
      </c>
      <c r="D143" s="4" t="s">
        <v>23</v>
      </c>
      <c r="E143" s="5" t="s">
        <v>34</v>
      </c>
      <c r="F143" s="4" t="s">
        <v>580</v>
      </c>
      <c r="G143" s="4" t="s">
        <v>26</v>
      </c>
      <c r="H143" s="4" t="s">
        <v>1043</v>
      </c>
      <c r="I143" s="12">
        <v>3.3</v>
      </c>
      <c r="J143" s="12">
        <v>3.3</v>
      </c>
      <c r="K143" s="12"/>
      <c r="L143" s="12"/>
      <c r="M143" s="64"/>
      <c r="N143" s="12"/>
      <c r="O143" s="12"/>
      <c r="P143" s="12"/>
      <c r="Q143" s="12"/>
      <c r="R143" s="12"/>
      <c r="S143" s="12"/>
      <c r="T143" s="12"/>
      <c r="U143" s="12"/>
      <c r="V143" s="12"/>
      <c r="W143" s="7"/>
      <c r="X143" s="12"/>
      <c r="Y143" s="7"/>
      <c r="Z143" s="7"/>
      <c r="AA143" s="7"/>
      <c r="AB143" s="8">
        <f>1/(5.99*10^-6)</f>
        <v>166944.9081803005</v>
      </c>
      <c r="AC143" s="7"/>
      <c r="AD143" s="4"/>
      <c r="AE143" s="4"/>
      <c r="AF143" s="4"/>
      <c r="AG143" s="4"/>
      <c r="AH143" s="9"/>
      <c r="AI143" s="9"/>
      <c r="AJ143" s="9"/>
      <c r="AK143" s="9" t="s">
        <v>30</v>
      </c>
      <c r="AL143" s="10"/>
      <c r="AM143" s="10"/>
      <c r="AN143" s="10"/>
      <c r="AO143" s="10"/>
      <c r="AP143" s="10"/>
      <c r="AQ143" s="11">
        <v>13</v>
      </c>
      <c r="AR143" s="4"/>
      <c r="AS143" s="10"/>
      <c r="AT143" s="10"/>
      <c r="AU143" s="10"/>
      <c r="AV143" s="10"/>
      <c r="AW143" s="10"/>
      <c r="AX143" s="10"/>
      <c r="AY143" s="10"/>
      <c r="AZ143" s="10"/>
      <c r="BA143" s="10"/>
      <c r="BB143" s="10"/>
      <c r="BC143" s="10"/>
      <c r="BD143" s="10"/>
    </row>
    <row r="144" spans="1:56" ht="30" x14ac:dyDescent="0.25">
      <c r="A144" s="4" t="s">
        <v>584</v>
      </c>
      <c r="B144" s="4"/>
      <c r="C144" s="4" t="s">
        <v>22</v>
      </c>
      <c r="D144" s="4" t="s">
        <v>23</v>
      </c>
      <c r="E144" s="5" t="s">
        <v>34</v>
      </c>
      <c r="F144" s="4" t="s">
        <v>580</v>
      </c>
      <c r="G144" s="4" t="s">
        <v>26</v>
      </c>
      <c r="H144" s="4" t="s">
        <v>1042</v>
      </c>
      <c r="I144" s="12">
        <v>0.1</v>
      </c>
      <c r="J144" s="12">
        <v>0.1</v>
      </c>
      <c r="K144" s="12"/>
      <c r="L144" s="12"/>
      <c r="M144" s="64"/>
      <c r="N144" s="12"/>
      <c r="O144" s="12"/>
      <c r="P144" s="12"/>
      <c r="Q144" s="12"/>
      <c r="R144" s="12"/>
      <c r="S144" s="12"/>
      <c r="T144" s="12"/>
      <c r="U144" s="12"/>
      <c r="V144" s="12"/>
      <c r="W144" s="7"/>
      <c r="X144" s="12"/>
      <c r="Y144" s="7"/>
      <c r="Z144" s="7"/>
      <c r="AA144" s="7"/>
      <c r="AB144" s="8">
        <f>1/(10^-6)</f>
        <v>1000000</v>
      </c>
      <c r="AC144" s="7"/>
      <c r="AD144" s="4"/>
      <c r="AE144" s="4"/>
      <c r="AF144" s="4"/>
      <c r="AG144" s="4"/>
      <c r="AH144" s="9"/>
      <c r="AI144" s="9"/>
      <c r="AJ144" s="9"/>
      <c r="AK144" s="9" t="s">
        <v>30</v>
      </c>
      <c r="AL144" s="10"/>
      <c r="AM144" s="10"/>
      <c r="AN144" s="10"/>
      <c r="AO144" s="10"/>
      <c r="AP144" s="10"/>
      <c r="AQ144" s="11">
        <v>13</v>
      </c>
      <c r="AR144" s="4"/>
      <c r="AS144" s="10"/>
      <c r="AT144" s="10"/>
      <c r="AU144" s="10"/>
      <c r="AV144" s="10"/>
      <c r="AW144" s="10"/>
      <c r="AX144" s="10"/>
      <c r="AY144" s="10"/>
      <c r="AZ144" s="10"/>
      <c r="BA144" s="10"/>
      <c r="BB144" s="10"/>
      <c r="BC144" s="10"/>
      <c r="BD144" s="10"/>
    </row>
    <row r="145" spans="1:56" ht="30" x14ac:dyDescent="0.25">
      <c r="A145" s="4" t="s">
        <v>585</v>
      </c>
      <c r="B145" s="4"/>
      <c r="C145" s="4" t="s">
        <v>22</v>
      </c>
      <c r="D145" s="4" t="s">
        <v>23</v>
      </c>
      <c r="E145" s="5" t="s">
        <v>34</v>
      </c>
      <c r="F145" s="4" t="s">
        <v>580</v>
      </c>
      <c r="G145" s="4" t="s">
        <v>26</v>
      </c>
      <c r="H145" s="4" t="s">
        <v>1042</v>
      </c>
      <c r="I145" s="12">
        <v>2.7</v>
      </c>
      <c r="J145" s="12">
        <v>2.7</v>
      </c>
      <c r="K145" s="12"/>
      <c r="L145" s="12"/>
      <c r="M145" s="64"/>
      <c r="N145" s="12"/>
      <c r="O145" s="12"/>
      <c r="P145" s="12"/>
      <c r="Q145" s="12"/>
      <c r="R145" s="12"/>
      <c r="S145" s="12"/>
      <c r="T145" s="12"/>
      <c r="U145" s="12"/>
      <c r="V145" s="12"/>
      <c r="W145" s="7"/>
      <c r="X145" s="12"/>
      <c r="Y145" s="7"/>
      <c r="Z145" s="7"/>
      <c r="AA145" s="7"/>
      <c r="AB145" s="8">
        <f>1/(5.99*10^-6)</f>
        <v>166944.9081803005</v>
      </c>
      <c r="AC145" s="7"/>
      <c r="AD145" s="4"/>
      <c r="AE145" s="4"/>
      <c r="AF145" s="4"/>
      <c r="AG145" s="4"/>
      <c r="AH145" s="9"/>
      <c r="AI145" s="9"/>
      <c r="AJ145" s="9"/>
      <c r="AK145" s="9" t="s">
        <v>30</v>
      </c>
      <c r="AL145" s="10"/>
      <c r="AM145" s="10"/>
      <c r="AN145" s="10"/>
      <c r="AO145" s="10"/>
      <c r="AP145" s="10"/>
      <c r="AQ145" s="11">
        <v>13</v>
      </c>
      <c r="AR145" s="4"/>
      <c r="AS145" s="10"/>
      <c r="AT145" s="10"/>
      <c r="AU145" s="10"/>
      <c r="AV145" s="10"/>
      <c r="AW145" s="10"/>
      <c r="AX145" s="10"/>
      <c r="AY145" s="10"/>
      <c r="AZ145" s="10"/>
      <c r="BA145" s="10"/>
      <c r="BB145" s="10"/>
      <c r="BC145" s="10"/>
      <c r="BD145" s="10"/>
    </row>
    <row r="146" spans="1:56" ht="30" x14ac:dyDescent="0.25">
      <c r="A146" s="4" t="s">
        <v>586</v>
      </c>
      <c r="B146" s="4"/>
      <c r="C146" s="4" t="s">
        <v>22</v>
      </c>
      <c r="D146" s="4" t="s">
        <v>23</v>
      </c>
      <c r="E146" s="5" t="s">
        <v>34</v>
      </c>
      <c r="F146" s="4" t="s">
        <v>580</v>
      </c>
      <c r="G146" s="4" t="s">
        <v>26</v>
      </c>
      <c r="H146" s="4" t="s">
        <v>1040</v>
      </c>
      <c r="I146" s="12">
        <v>0.2</v>
      </c>
      <c r="J146" s="12">
        <v>0.2</v>
      </c>
      <c r="K146" s="12"/>
      <c r="L146" s="12"/>
      <c r="M146" s="64"/>
      <c r="N146" s="12"/>
      <c r="O146" s="12"/>
      <c r="P146" s="12"/>
      <c r="Q146" s="12"/>
      <c r="R146" s="12"/>
      <c r="S146" s="12"/>
      <c r="T146" s="12"/>
      <c r="U146" s="12"/>
      <c r="V146" s="12"/>
      <c r="W146" s="7"/>
      <c r="X146" s="12"/>
      <c r="Y146" s="7"/>
      <c r="Z146" s="7"/>
      <c r="AA146" s="7"/>
      <c r="AB146" s="8">
        <f>1/(10^-5)</f>
        <v>99999.999999999985</v>
      </c>
      <c r="AC146" s="7"/>
      <c r="AD146" s="4"/>
      <c r="AE146" s="4"/>
      <c r="AF146" s="4"/>
      <c r="AG146" s="4"/>
      <c r="AH146" s="9"/>
      <c r="AI146" s="9"/>
      <c r="AJ146" s="9"/>
      <c r="AK146" s="9" t="s">
        <v>30</v>
      </c>
      <c r="AL146" s="10"/>
      <c r="AM146" s="10"/>
      <c r="AN146" s="10"/>
      <c r="AO146" s="10"/>
      <c r="AP146" s="10"/>
      <c r="AQ146" s="11">
        <v>13</v>
      </c>
      <c r="AR146" s="4"/>
      <c r="AS146" s="10"/>
      <c r="AT146" s="10"/>
      <c r="AU146" s="10"/>
      <c r="AV146" s="10"/>
      <c r="AW146" s="10"/>
      <c r="AX146" s="10"/>
      <c r="AY146" s="10"/>
      <c r="AZ146" s="10"/>
      <c r="BA146" s="10"/>
      <c r="BB146" s="10"/>
      <c r="BC146" s="10"/>
      <c r="BD146" s="10"/>
    </row>
    <row r="147" spans="1:56" ht="30" x14ac:dyDescent="0.25">
      <c r="A147" s="4" t="s">
        <v>587</v>
      </c>
      <c r="B147" s="4"/>
      <c r="C147" s="4" t="s">
        <v>22</v>
      </c>
      <c r="D147" s="4" t="s">
        <v>23</v>
      </c>
      <c r="E147" s="5" t="s">
        <v>34</v>
      </c>
      <c r="F147" s="4" t="s">
        <v>580</v>
      </c>
      <c r="G147" s="4" t="s">
        <v>26</v>
      </c>
      <c r="H147" s="4" t="s">
        <v>1042</v>
      </c>
      <c r="I147" s="12">
        <v>9.5</v>
      </c>
      <c r="J147" s="12">
        <v>9.5</v>
      </c>
      <c r="K147" s="12"/>
      <c r="L147" s="12"/>
      <c r="M147" s="64"/>
      <c r="N147" s="12"/>
      <c r="O147" s="12"/>
      <c r="P147" s="12"/>
      <c r="Q147" s="12"/>
      <c r="R147" s="12"/>
      <c r="S147" s="12"/>
      <c r="T147" s="12"/>
      <c r="U147" s="12"/>
      <c r="V147" s="12"/>
      <c r="W147" s="7"/>
      <c r="X147" s="12"/>
      <c r="Y147" s="7"/>
      <c r="Z147" s="7"/>
      <c r="AA147" s="7"/>
      <c r="AB147" s="8">
        <f>1/(1.5*10^-5)</f>
        <v>66666.666666666657</v>
      </c>
      <c r="AC147" s="7"/>
      <c r="AD147" s="4"/>
      <c r="AE147" s="4"/>
      <c r="AF147" s="4"/>
      <c r="AG147" s="4"/>
      <c r="AH147" s="9"/>
      <c r="AI147" s="9"/>
      <c r="AJ147" s="9"/>
      <c r="AK147" s="9" t="s">
        <v>30</v>
      </c>
      <c r="AL147" s="10"/>
      <c r="AM147" s="10"/>
      <c r="AN147" s="10"/>
      <c r="AO147" s="10"/>
      <c r="AP147" s="10"/>
      <c r="AQ147" s="11">
        <v>13</v>
      </c>
      <c r="AR147" s="4"/>
      <c r="AS147" s="10"/>
      <c r="AT147" s="10"/>
      <c r="AU147" s="10"/>
      <c r="AV147" s="10"/>
      <c r="AW147" s="10"/>
      <c r="AX147" s="10"/>
      <c r="AY147" s="10"/>
      <c r="AZ147" s="10"/>
      <c r="BA147" s="10"/>
      <c r="BB147" s="10"/>
      <c r="BC147" s="10"/>
      <c r="BD147" s="10"/>
    </row>
    <row r="148" spans="1:56" ht="30" x14ac:dyDescent="0.25">
      <c r="A148" s="4" t="s">
        <v>588</v>
      </c>
      <c r="B148" s="4"/>
      <c r="C148" s="4" t="s">
        <v>22</v>
      </c>
      <c r="D148" s="4" t="s">
        <v>23</v>
      </c>
      <c r="E148" s="5" t="s">
        <v>34</v>
      </c>
      <c r="F148" s="4" t="s">
        <v>580</v>
      </c>
      <c r="G148" s="4" t="s">
        <v>26</v>
      </c>
      <c r="H148" s="4" t="s">
        <v>1040</v>
      </c>
      <c r="I148" s="12">
        <v>0.1</v>
      </c>
      <c r="J148" s="12">
        <v>0.01</v>
      </c>
      <c r="K148" s="12"/>
      <c r="L148" s="12"/>
      <c r="M148" s="64"/>
      <c r="N148" s="12"/>
      <c r="O148" s="12"/>
      <c r="P148" s="12"/>
      <c r="Q148" s="12"/>
      <c r="R148" s="12"/>
      <c r="S148" s="12"/>
      <c r="T148" s="12"/>
      <c r="U148" s="12"/>
      <c r="V148" s="12"/>
      <c r="W148" s="7"/>
      <c r="X148" s="12"/>
      <c r="Y148" s="7"/>
      <c r="Z148" s="7"/>
      <c r="AA148" s="7"/>
      <c r="AB148" s="8">
        <f>1/(10^-5)</f>
        <v>99999.999999999985</v>
      </c>
      <c r="AC148" s="7"/>
      <c r="AD148" s="4"/>
      <c r="AE148" s="4"/>
      <c r="AF148" s="4"/>
      <c r="AG148" s="4"/>
      <c r="AH148" s="9"/>
      <c r="AI148" s="9"/>
      <c r="AJ148" s="9"/>
      <c r="AK148" s="9" t="s">
        <v>30</v>
      </c>
      <c r="AL148" s="10"/>
      <c r="AM148" s="10"/>
      <c r="AN148" s="10"/>
      <c r="AO148" s="10"/>
      <c r="AP148" s="10"/>
      <c r="AQ148" s="11">
        <v>13</v>
      </c>
      <c r="AR148" s="4"/>
      <c r="AS148" s="10"/>
      <c r="AT148" s="10"/>
      <c r="AU148" s="10"/>
      <c r="AV148" s="10"/>
      <c r="AW148" s="10"/>
      <c r="AX148" s="10"/>
      <c r="AY148" s="10"/>
      <c r="AZ148" s="10"/>
      <c r="BA148" s="10"/>
      <c r="BB148" s="10"/>
      <c r="BC148" s="10"/>
      <c r="BD148" s="10"/>
    </row>
    <row r="149" spans="1:56" ht="30" x14ac:dyDescent="0.25">
      <c r="A149" s="4" t="s">
        <v>589</v>
      </c>
      <c r="B149" s="4"/>
      <c r="C149" s="4" t="s">
        <v>22</v>
      </c>
      <c r="D149" s="4" t="s">
        <v>23</v>
      </c>
      <c r="E149" s="5" t="s">
        <v>34</v>
      </c>
      <c r="F149" s="4" t="s">
        <v>580</v>
      </c>
      <c r="G149" s="4" t="s">
        <v>26</v>
      </c>
      <c r="H149" s="4" t="s">
        <v>1040</v>
      </c>
      <c r="I149" s="12">
        <v>23.6</v>
      </c>
      <c r="J149" s="12">
        <v>23.6</v>
      </c>
      <c r="K149" s="12"/>
      <c r="L149" s="12"/>
      <c r="M149" s="64"/>
      <c r="N149" s="12"/>
      <c r="O149" s="12"/>
      <c r="P149" s="12"/>
      <c r="Q149" s="12"/>
      <c r="R149" s="12"/>
      <c r="S149" s="12"/>
      <c r="T149" s="12"/>
      <c r="U149" s="12"/>
      <c r="V149" s="12"/>
      <c r="W149" s="7"/>
      <c r="X149" s="12"/>
      <c r="Y149" s="7"/>
      <c r="Z149" s="7"/>
      <c r="AA149" s="7"/>
      <c r="AB149" s="8">
        <f>1/(1.3*10^-5)</f>
        <v>76923.076923076922</v>
      </c>
      <c r="AC149" s="7"/>
      <c r="AD149" s="4"/>
      <c r="AE149" s="4"/>
      <c r="AF149" s="4"/>
      <c r="AG149" s="4"/>
      <c r="AH149" s="9"/>
      <c r="AI149" s="9"/>
      <c r="AJ149" s="9"/>
      <c r="AK149" s="9" t="s">
        <v>30</v>
      </c>
      <c r="AL149" s="10"/>
      <c r="AM149" s="10"/>
      <c r="AN149" s="10"/>
      <c r="AO149" s="10"/>
      <c r="AP149" s="10"/>
      <c r="AQ149" s="11">
        <v>13</v>
      </c>
      <c r="AR149" s="4"/>
      <c r="AS149" s="10"/>
      <c r="AT149" s="10"/>
      <c r="AU149" s="10"/>
      <c r="AV149" s="10"/>
      <c r="AW149" s="10"/>
      <c r="AX149" s="10"/>
      <c r="AY149" s="10"/>
      <c r="AZ149" s="10"/>
      <c r="BA149" s="10"/>
      <c r="BB149" s="10"/>
      <c r="BC149" s="10"/>
      <c r="BD149" s="10"/>
    </row>
    <row r="150" spans="1:56" ht="30" x14ac:dyDescent="0.25">
      <c r="A150" s="4" t="s">
        <v>590</v>
      </c>
      <c r="B150" s="4"/>
      <c r="C150" s="4" t="s">
        <v>22</v>
      </c>
      <c r="D150" s="4" t="s">
        <v>23</v>
      </c>
      <c r="E150" s="5" t="s">
        <v>34</v>
      </c>
      <c r="F150" s="4" t="s">
        <v>580</v>
      </c>
      <c r="G150" s="4" t="s">
        <v>26</v>
      </c>
      <c r="H150" s="4" t="s">
        <v>1043</v>
      </c>
      <c r="I150" s="12">
        <v>0.1</v>
      </c>
      <c r="J150" s="12">
        <v>0.01</v>
      </c>
      <c r="K150" s="12"/>
      <c r="L150" s="12"/>
      <c r="M150" s="64"/>
      <c r="N150" s="12"/>
      <c r="O150" s="12"/>
      <c r="P150" s="12"/>
      <c r="Q150" s="12"/>
      <c r="R150" s="12"/>
      <c r="S150" s="12"/>
      <c r="T150" s="12"/>
      <c r="U150" s="12"/>
      <c r="V150" s="12"/>
      <c r="W150" s="7"/>
      <c r="X150" s="12"/>
      <c r="Y150" s="7"/>
      <c r="Z150" s="7"/>
      <c r="AA150" s="7"/>
      <c r="AB150" s="8">
        <f>1/(10^-5)</f>
        <v>99999.999999999985</v>
      </c>
      <c r="AC150" s="7"/>
      <c r="AD150" s="4"/>
      <c r="AE150" s="4"/>
      <c r="AF150" s="4"/>
      <c r="AG150" s="4"/>
      <c r="AH150" s="9"/>
      <c r="AI150" s="9"/>
      <c r="AJ150" s="9"/>
      <c r="AK150" s="9" t="s">
        <v>30</v>
      </c>
      <c r="AL150" s="10"/>
      <c r="AM150" s="10"/>
      <c r="AN150" s="10"/>
      <c r="AO150" s="10"/>
      <c r="AP150" s="10"/>
      <c r="AQ150" s="11">
        <v>13</v>
      </c>
      <c r="AR150" s="4"/>
      <c r="AS150" s="10"/>
      <c r="AT150" s="10"/>
      <c r="AU150" s="10"/>
      <c r="AV150" s="10"/>
      <c r="AW150" s="10"/>
      <c r="AX150" s="10"/>
      <c r="AY150" s="10"/>
      <c r="AZ150" s="10"/>
      <c r="BA150" s="10"/>
      <c r="BB150" s="10"/>
      <c r="BC150" s="10"/>
      <c r="BD150" s="10"/>
    </row>
    <row r="151" spans="1:56" ht="30" x14ac:dyDescent="0.25">
      <c r="A151" s="4" t="s">
        <v>591</v>
      </c>
      <c r="B151" s="4"/>
      <c r="C151" s="4" t="s">
        <v>22</v>
      </c>
      <c r="D151" s="4" t="s">
        <v>23</v>
      </c>
      <c r="E151" s="5" t="s">
        <v>34</v>
      </c>
      <c r="F151" s="4" t="s">
        <v>580</v>
      </c>
      <c r="G151" s="4" t="s">
        <v>26</v>
      </c>
      <c r="H151" s="4" t="s">
        <v>1040</v>
      </c>
      <c r="I151" s="12">
        <v>0.1</v>
      </c>
      <c r="J151" s="12">
        <v>0.01</v>
      </c>
      <c r="K151" s="12"/>
      <c r="L151" s="12"/>
      <c r="M151" s="64"/>
      <c r="N151" s="12"/>
      <c r="O151" s="12"/>
      <c r="P151" s="12"/>
      <c r="Q151" s="12"/>
      <c r="R151" s="12"/>
      <c r="S151" s="12"/>
      <c r="T151" s="12"/>
      <c r="U151" s="12"/>
      <c r="V151" s="12"/>
      <c r="W151" s="7"/>
      <c r="X151" s="12"/>
      <c r="Y151" s="7"/>
      <c r="Z151" s="7"/>
      <c r="AA151" s="7"/>
      <c r="AB151" s="8">
        <f>1/(6*10^-6)</f>
        <v>166666.66666666666</v>
      </c>
      <c r="AC151" s="7"/>
      <c r="AD151" s="4"/>
      <c r="AE151" s="4"/>
      <c r="AF151" s="4"/>
      <c r="AG151" s="4"/>
      <c r="AH151" s="9"/>
      <c r="AI151" s="9"/>
      <c r="AJ151" s="9"/>
      <c r="AK151" s="9" t="s">
        <v>30</v>
      </c>
      <c r="AL151" s="10"/>
      <c r="AM151" s="10"/>
      <c r="AN151" s="10"/>
      <c r="AO151" s="10"/>
      <c r="AP151" s="10"/>
      <c r="AQ151" s="11">
        <v>13</v>
      </c>
      <c r="AR151" s="4"/>
      <c r="AS151" s="10"/>
      <c r="AT151" s="10"/>
      <c r="AU151" s="10"/>
      <c r="AV151" s="10"/>
      <c r="AW151" s="10"/>
      <c r="AX151" s="10"/>
      <c r="AY151" s="10"/>
      <c r="AZ151" s="10"/>
      <c r="BA151" s="10"/>
      <c r="BB151" s="10"/>
      <c r="BC151" s="10"/>
      <c r="BD151" s="10"/>
    </row>
    <row r="152" spans="1:56" ht="30" x14ac:dyDescent="0.25">
      <c r="A152" s="4" t="s">
        <v>592</v>
      </c>
      <c r="B152" s="4"/>
      <c r="C152" s="4" t="s">
        <v>22</v>
      </c>
      <c r="D152" s="4" t="s">
        <v>23</v>
      </c>
      <c r="E152" s="5" t="s">
        <v>34</v>
      </c>
      <c r="F152" s="4" t="s">
        <v>580</v>
      </c>
      <c r="G152" s="4" t="s">
        <v>26</v>
      </c>
      <c r="H152" s="4" t="s">
        <v>1045</v>
      </c>
      <c r="I152" s="12">
        <v>2</v>
      </c>
      <c r="J152" s="12">
        <v>2</v>
      </c>
      <c r="K152" s="12"/>
      <c r="L152" s="12"/>
      <c r="M152" s="64"/>
      <c r="N152" s="12"/>
      <c r="O152" s="12"/>
      <c r="P152" s="12"/>
      <c r="Q152" s="12"/>
      <c r="R152" s="12"/>
      <c r="S152" s="12"/>
      <c r="T152" s="12"/>
      <c r="U152" s="12"/>
      <c r="V152" s="12"/>
      <c r="W152" s="7"/>
      <c r="X152" s="12"/>
      <c r="Y152" s="7"/>
      <c r="Z152" s="7"/>
      <c r="AA152" s="7"/>
      <c r="AB152" s="8">
        <f>1/(10^-5)</f>
        <v>99999.999999999985</v>
      </c>
      <c r="AC152" s="7"/>
      <c r="AD152" s="4"/>
      <c r="AE152" s="4"/>
      <c r="AF152" s="4"/>
      <c r="AG152" s="4"/>
      <c r="AH152" s="9"/>
      <c r="AI152" s="9"/>
      <c r="AJ152" s="9"/>
      <c r="AK152" s="9" t="s">
        <v>30</v>
      </c>
      <c r="AL152" s="10"/>
      <c r="AM152" s="10"/>
      <c r="AN152" s="10"/>
      <c r="AO152" s="10"/>
      <c r="AP152" s="10"/>
      <c r="AQ152" s="11">
        <v>13</v>
      </c>
      <c r="AR152" s="4"/>
      <c r="AS152" s="10"/>
      <c r="AT152" s="10"/>
      <c r="AU152" s="10"/>
      <c r="AV152" s="10"/>
      <c r="AW152" s="10"/>
      <c r="AX152" s="10"/>
      <c r="AY152" s="10"/>
      <c r="AZ152" s="10"/>
      <c r="BA152" s="10"/>
      <c r="BB152" s="10"/>
      <c r="BC152" s="10"/>
      <c r="BD152" s="10"/>
    </row>
    <row r="153" spans="1:56" ht="30" x14ac:dyDescent="0.25">
      <c r="A153" s="4" t="s">
        <v>593</v>
      </c>
      <c r="B153" s="4"/>
      <c r="C153" s="4" t="s">
        <v>22</v>
      </c>
      <c r="D153" s="4" t="s">
        <v>33</v>
      </c>
      <c r="E153" s="5" t="s">
        <v>34</v>
      </c>
      <c r="F153" s="4" t="s">
        <v>594</v>
      </c>
      <c r="G153" s="4" t="s">
        <v>26</v>
      </c>
      <c r="H153" s="4" t="s">
        <v>1042</v>
      </c>
      <c r="I153" s="12">
        <v>0.91</v>
      </c>
      <c r="J153" s="12">
        <v>0.91</v>
      </c>
      <c r="K153" s="12"/>
      <c r="L153" s="12"/>
      <c r="M153" s="64"/>
      <c r="N153" s="12"/>
      <c r="O153" s="12"/>
      <c r="P153" s="12"/>
      <c r="Q153" s="12"/>
      <c r="R153" s="12"/>
      <c r="S153" s="12"/>
      <c r="T153" s="12"/>
      <c r="U153" s="12"/>
      <c r="V153" s="12"/>
      <c r="W153" s="7"/>
      <c r="X153" s="12"/>
      <c r="Y153" s="7"/>
      <c r="Z153" s="7"/>
      <c r="AA153" s="7"/>
      <c r="AB153" s="8">
        <f>1/(5*10^-7)</f>
        <v>2000000</v>
      </c>
      <c r="AC153" s="8"/>
      <c r="AD153" s="4"/>
      <c r="AE153" s="4"/>
      <c r="AF153" s="4"/>
      <c r="AG153" s="4"/>
      <c r="AH153" s="9"/>
      <c r="AI153" s="9"/>
      <c r="AJ153" s="9"/>
      <c r="AK153" s="9" t="s">
        <v>30</v>
      </c>
      <c r="AL153" s="10"/>
      <c r="AM153" s="10"/>
      <c r="AN153" s="10"/>
      <c r="AO153" s="10"/>
      <c r="AP153" s="10"/>
      <c r="AQ153" s="11">
        <v>13</v>
      </c>
      <c r="AR153" s="4"/>
      <c r="AS153" s="10"/>
      <c r="AT153" s="10"/>
      <c r="AU153" s="10"/>
      <c r="AV153" s="10"/>
      <c r="AW153" s="10"/>
      <c r="AX153" s="10"/>
      <c r="AY153" s="10"/>
      <c r="AZ153" s="10"/>
      <c r="BA153" s="10"/>
      <c r="BB153" s="10"/>
      <c r="BC153" s="10"/>
      <c r="BD153" s="10"/>
    </row>
    <row r="154" spans="1:56" ht="30" x14ac:dyDescent="0.25">
      <c r="A154" s="4" t="s">
        <v>595</v>
      </c>
      <c r="B154" s="4"/>
      <c r="C154" s="4" t="s">
        <v>22</v>
      </c>
      <c r="D154" s="4" t="s">
        <v>33</v>
      </c>
      <c r="E154" s="5" t="s">
        <v>34</v>
      </c>
      <c r="F154" s="4" t="s">
        <v>594</v>
      </c>
      <c r="G154" s="4" t="s">
        <v>26</v>
      </c>
      <c r="H154" s="4" t="s">
        <v>1043</v>
      </c>
      <c r="I154" s="12">
        <v>6.8</v>
      </c>
      <c r="J154" s="12">
        <v>6.8</v>
      </c>
      <c r="K154" s="12"/>
      <c r="L154" s="12"/>
      <c r="M154" s="64"/>
      <c r="N154" s="12"/>
      <c r="O154" s="12"/>
      <c r="P154" s="12"/>
      <c r="Q154" s="12"/>
      <c r="R154" s="12"/>
      <c r="S154" s="12"/>
      <c r="T154" s="12"/>
      <c r="U154" s="12"/>
      <c r="V154" s="12"/>
      <c r="W154" s="7"/>
      <c r="X154" s="12"/>
      <c r="Y154" s="7"/>
      <c r="Z154" s="7"/>
      <c r="AA154" s="7"/>
      <c r="AB154" s="8">
        <f>1/(3*10^-6)</f>
        <v>333333.33333333331</v>
      </c>
      <c r="AC154" s="8"/>
      <c r="AD154" s="4"/>
      <c r="AE154" s="4"/>
      <c r="AF154" s="4"/>
      <c r="AG154" s="4"/>
      <c r="AH154" s="9"/>
      <c r="AI154" s="9"/>
      <c r="AJ154" s="9"/>
      <c r="AK154" s="9" t="s">
        <v>30</v>
      </c>
      <c r="AL154" s="10"/>
      <c r="AM154" s="10"/>
      <c r="AN154" s="10"/>
      <c r="AO154" s="10"/>
      <c r="AP154" s="10"/>
      <c r="AQ154" s="11">
        <v>13</v>
      </c>
      <c r="AR154" s="4"/>
      <c r="AS154" s="10"/>
      <c r="AT154" s="10"/>
      <c r="AU154" s="10"/>
      <c r="AV154" s="10"/>
      <c r="AW154" s="10"/>
      <c r="AX154" s="10"/>
      <c r="AY154" s="10"/>
      <c r="AZ154" s="10"/>
      <c r="BA154" s="10"/>
      <c r="BB154" s="10"/>
      <c r="BC154" s="10"/>
      <c r="BD154" s="10"/>
    </row>
    <row r="155" spans="1:56" ht="30" x14ac:dyDescent="0.25">
      <c r="A155" s="4" t="s">
        <v>596</v>
      </c>
      <c r="B155" s="4"/>
      <c r="C155" s="4" t="s">
        <v>22</v>
      </c>
      <c r="D155" s="4" t="s">
        <v>33</v>
      </c>
      <c r="E155" s="5" t="s">
        <v>34</v>
      </c>
      <c r="F155" s="4" t="s">
        <v>594</v>
      </c>
      <c r="G155" s="4" t="s">
        <v>26</v>
      </c>
      <c r="H155" s="4" t="s">
        <v>1042</v>
      </c>
      <c r="I155" s="12">
        <v>0.2</v>
      </c>
      <c r="J155" s="12">
        <v>0.2</v>
      </c>
      <c r="K155" s="12"/>
      <c r="L155" s="12"/>
      <c r="M155" s="64"/>
      <c r="N155" s="12"/>
      <c r="O155" s="12"/>
      <c r="P155" s="12"/>
      <c r="Q155" s="12"/>
      <c r="R155" s="12"/>
      <c r="S155" s="12"/>
      <c r="T155" s="12"/>
      <c r="U155" s="12"/>
      <c r="V155" s="12"/>
      <c r="W155" s="7"/>
      <c r="X155" s="12"/>
      <c r="Y155" s="7"/>
      <c r="Z155" s="7"/>
      <c r="AA155" s="7"/>
      <c r="AB155" s="8">
        <f>1/(1*10^-5)</f>
        <v>99999.999999999985</v>
      </c>
      <c r="AC155" s="8"/>
      <c r="AD155" s="4"/>
      <c r="AE155" s="4"/>
      <c r="AF155" s="4"/>
      <c r="AG155" s="4"/>
      <c r="AH155" s="9"/>
      <c r="AI155" s="9"/>
      <c r="AJ155" s="9"/>
      <c r="AK155" s="9" t="s">
        <v>30</v>
      </c>
      <c r="AL155" s="10"/>
      <c r="AM155" s="10"/>
      <c r="AN155" s="10"/>
      <c r="AO155" s="10"/>
      <c r="AP155" s="10"/>
      <c r="AQ155" s="11">
        <v>13</v>
      </c>
      <c r="AR155" s="4"/>
      <c r="AS155" s="10"/>
      <c r="AT155" s="10"/>
      <c r="AU155" s="10"/>
      <c r="AV155" s="10"/>
      <c r="AW155" s="10"/>
      <c r="AX155" s="10"/>
      <c r="AY155" s="10"/>
      <c r="AZ155" s="10"/>
      <c r="BA155" s="10"/>
      <c r="BB155" s="10"/>
      <c r="BC155" s="10"/>
      <c r="BD155" s="10"/>
    </row>
    <row r="156" spans="1:56" ht="30" x14ac:dyDescent="0.25">
      <c r="A156" s="4" t="s">
        <v>597</v>
      </c>
      <c r="B156" s="4"/>
      <c r="C156" s="4" t="s">
        <v>22</v>
      </c>
      <c r="D156" s="4" t="s">
        <v>33</v>
      </c>
      <c r="E156" s="5" t="s">
        <v>34</v>
      </c>
      <c r="F156" s="4" t="s">
        <v>594</v>
      </c>
      <c r="G156" s="4" t="s">
        <v>26</v>
      </c>
      <c r="H156" s="4" t="s">
        <v>1042</v>
      </c>
      <c r="I156" s="12">
        <v>0.91</v>
      </c>
      <c r="J156" s="12">
        <v>0.91</v>
      </c>
      <c r="K156" s="12"/>
      <c r="L156" s="12"/>
      <c r="M156" s="64"/>
      <c r="N156" s="12"/>
      <c r="O156" s="12"/>
      <c r="P156" s="12"/>
      <c r="Q156" s="12"/>
      <c r="R156" s="12"/>
      <c r="S156" s="12"/>
      <c r="T156" s="12"/>
      <c r="U156" s="12"/>
      <c r="V156" s="12"/>
      <c r="W156" s="7"/>
      <c r="X156" s="12"/>
      <c r="Y156" s="7"/>
      <c r="Z156" s="7"/>
      <c r="AA156" s="7"/>
      <c r="AB156" s="8">
        <f>1/(1*10^-6)</f>
        <v>1000000</v>
      </c>
      <c r="AC156" s="8"/>
      <c r="AD156" s="4"/>
      <c r="AE156" s="4"/>
      <c r="AF156" s="4"/>
      <c r="AG156" s="4"/>
      <c r="AH156" s="9"/>
      <c r="AI156" s="9"/>
      <c r="AJ156" s="9"/>
      <c r="AK156" s="9" t="s">
        <v>30</v>
      </c>
      <c r="AL156" s="10"/>
      <c r="AM156" s="10"/>
      <c r="AN156" s="10"/>
      <c r="AO156" s="10"/>
      <c r="AP156" s="10"/>
      <c r="AQ156" s="11">
        <v>13</v>
      </c>
      <c r="AR156" s="4"/>
      <c r="AS156" s="10"/>
      <c r="AT156" s="10"/>
      <c r="AU156" s="10"/>
      <c r="AV156" s="10"/>
      <c r="AW156" s="10"/>
      <c r="AX156" s="10"/>
      <c r="AY156" s="10"/>
      <c r="AZ156" s="10"/>
      <c r="BA156" s="10"/>
      <c r="BB156" s="10"/>
      <c r="BC156" s="10"/>
      <c r="BD156" s="10"/>
    </row>
    <row r="157" spans="1:56" ht="30" x14ac:dyDescent="0.25">
      <c r="A157" s="4" t="s">
        <v>598</v>
      </c>
      <c r="B157" s="4"/>
      <c r="C157" s="4" t="s">
        <v>22</v>
      </c>
      <c r="D157" s="4" t="s">
        <v>33</v>
      </c>
      <c r="E157" s="5" t="s">
        <v>34</v>
      </c>
      <c r="F157" s="4" t="s">
        <v>594</v>
      </c>
      <c r="G157" s="4" t="s">
        <v>26</v>
      </c>
      <c r="H157" s="4" t="s">
        <v>1042</v>
      </c>
      <c r="I157" s="12">
        <v>0.2</v>
      </c>
      <c r="J157" s="12">
        <v>0.2</v>
      </c>
      <c r="K157" s="12"/>
      <c r="L157" s="12"/>
      <c r="M157" s="64"/>
      <c r="N157" s="12"/>
      <c r="O157" s="12"/>
      <c r="P157" s="12"/>
      <c r="Q157" s="12"/>
      <c r="R157" s="12"/>
      <c r="S157" s="12"/>
      <c r="T157" s="12"/>
      <c r="U157" s="12"/>
      <c r="V157" s="12"/>
      <c r="W157" s="7"/>
      <c r="X157" s="12"/>
      <c r="Y157" s="7"/>
      <c r="Z157" s="7"/>
      <c r="AA157" s="7"/>
      <c r="AB157" s="8">
        <f>1/(2.14*10^-6)</f>
        <v>467289.71962616825</v>
      </c>
      <c r="AC157" s="8"/>
      <c r="AD157" s="4"/>
      <c r="AE157" s="4"/>
      <c r="AF157" s="4"/>
      <c r="AG157" s="4"/>
      <c r="AH157" s="9"/>
      <c r="AI157" s="9"/>
      <c r="AJ157" s="9"/>
      <c r="AK157" s="9" t="s">
        <v>30</v>
      </c>
      <c r="AL157" s="10"/>
      <c r="AM157" s="10"/>
      <c r="AN157" s="10"/>
      <c r="AO157" s="10"/>
      <c r="AP157" s="10"/>
      <c r="AQ157" s="11">
        <v>13</v>
      </c>
      <c r="AR157" s="4"/>
      <c r="AS157" s="10"/>
      <c r="AT157" s="10"/>
      <c r="AU157" s="10"/>
      <c r="AV157" s="10"/>
      <c r="AW157" s="10"/>
      <c r="AX157" s="10"/>
      <c r="AY157" s="10"/>
      <c r="AZ157" s="10"/>
      <c r="BA157" s="10"/>
      <c r="BB157" s="10"/>
      <c r="BC157" s="10"/>
      <c r="BD157" s="10"/>
    </row>
    <row r="158" spans="1:56" ht="30" x14ac:dyDescent="0.25">
      <c r="A158" s="4" t="s">
        <v>599</v>
      </c>
      <c r="B158" s="4"/>
      <c r="C158" s="4" t="s">
        <v>22</v>
      </c>
      <c r="D158" s="4" t="s">
        <v>33</v>
      </c>
      <c r="E158" s="5" t="s">
        <v>34</v>
      </c>
      <c r="F158" s="4" t="s">
        <v>594</v>
      </c>
      <c r="G158" s="4" t="s">
        <v>26</v>
      </c>
      <c r="H158" s="4" t="s">
        <v>1045</v>
      </c>
      <c r="I158" s="12">
        <v>2.09</v>
      </c>
      <c r="J158" s="12">
        <v>2.09</v>
      </c>
      <c r="K158" s="12"/>
      <c r="L158" s="12"/>
      <c r="M158" s="64"/>
      <c r="N158" s="12"/>
      <c r="O158" s="12"/>
      <c r="P158" s="12"/>
      <c r="Q158" s="12"/>
      <c r="R158" s="12"/>
      <c r="S158" s="12"/>
      <c r="T158" s="12"/>
      <c r="U158" s="12"/>
      <c r="V158" s="12"/>
      <c r="W158" s="7"/>
      <c r="X158" s="12"/>
      <c r="Y158" s="7"/>
      <c r="Z158" s="7"/>
      <c r="AA158" s="7"/>
      <c r="AB158" s="8">
        <f>1/(5*10^-6)</f>
        <v>200000.00000000003</v>
      </c>
      <c r="AC158" s="8"/>
      <c r="AD158" s="4"/>
      <c r="AE158" s="4"/>
      <c r="AF158" s="4"/>
      <c r="AG158" s="4"/>
      <c r="AH158" s="9"/>
      <c r="AI158" s="9"/>
      <c r="AJ158" s="9"/>
      <c r="AK158" s="9" t="s">
        <v>30</v>
      </c>
      <c r="AL158" s="10"/>
      <c r="AM158" s="10"/>
      <c r="AN158" s="10"/>
      <c r="AO158" s="10"/>
      <c r="AP158" s="10"/>
      <c r="AQ158" s="11">
        <v>13</v>
      </c>
      <c r="AR158" s="4"/>
      <c r="AS158" s="10"/>
      <c r="AT158" s="10"/>
      <c r="AU158" s="10"/>
      <c r="AV158" s="10"/>
      <c r="AW158" s="10"/>
      <c r="AX158" s="10"/>
      <c r="AY158" s="10"/>
      <c r="AZ158" s="10"/>
      <c r="BA158" s="10"/>
      <c r="BB158" s="10"/>
      <c r="BC158" s="10"/>
      <c r="BD158" s="10"/>
    </row>
    <row r="159" spans="1:56" ht="30" x14ac:dyDescent="0.25">
      <c r="A159" s="4" t="s">
        <v>600</v>
      </c>
      <c r="B159" s="4"/>
      <c r="C159" s="4" t="s">
        <v>22</v>
      </c>
      <c r="D159" s="4" t="s">
        <v>33</v>
      </c>
      <c r="E159" s="5" t="s">
        <v>34</v>
      </c>
      <c r="F159" s="4" t="s">
        <v>594</v>
      </c>
      <c r="G159" s="4" t="s">
        <v>26</v>
      </c>
      <c r="H159" s="4" t="s">
        <v>1040</v>
      </c>
      <c r="I159" s="12">
        <v>1</v>
      </c>
      <c r="J159" s="12">
        <v>1</v>
      </c>
      <c r="K159" s="12"/>
      <c r="L159" s="12"/>
      <c r="M159" s="64"/>
      <c r="N159" s="12"/>
      <c r="O159" s="12"/>
      <c r="P159" s="12"/>
      <c r="Q159" s="12"/>
      <c r="R159" s="12"/>
      <c r="S159" s="12"/>
      <c r="T159" s="12"/>
      <c r="U159" s="12"/>
      <c r="V159" s="12"/>
      <c r="W159" s="7"/>
      <c r="X159" s="12"/>
      <c r="Y159" s="7"/>
      <c r="Z159" s="7"/>
      <c r="AA159" s="7"/>
      <c r="AB159" s="8">
        <f>1/(1*10^-5)</f>
        <v>99999.999999999985</v>
      </c>
      <c r="AC159" s="8"/>
      <c r="AD159" s="4"/>
      <c r="AE159" s="4"/>
      <c r="AF159" s="4"/>
      <c r="AG159" s="4"/>
      <c r="AH159" s="9"/>
      <c r="AI159" s="9"/>
      <c r="AJ159" s="9"/>
      <c r="AK159" s="9" t="s">
        <v>30</v>
      </c>
      <c r="AL159" s="10"/>
      <c r="AM159" s="10"/>
      <c r="AN159" s="10"/>
      <c r="AO159" s="10"/>
      <c r="AP159" s="10"/>
      <c r="AQ159" s="11">
        <v>13</v>
      </c>
      <c r="AR159" s="4"/>
      <c r="AS159" s="10"/>
      <c r="AT159" s="10"/>
      <c r="AU159" s="10"/>
      <c r="AV159" s="10"/>
      <c r="AW159" s="10"/>
      <c r="AX159" s="10"/>
      <c r="AY159" s="10"/>
      <c r="AZ159" s="10"/>
      <c r="BA159" s="10"/>
      <c r="BB159" s="10"/>
      <c r="BC159" s="10"/>
      <c r="BD159" s="10"/>
    </row>
    <row r="160" spans="1:56" ht="30" x14ac:dyDescent="0.25">
      <c r="A160" s="4" t="s">
        <v>601</v>
      </c>
      <c r="B160" s="4"/>
      <c r="C160" s="4" t="s">
        <v>22</v>
      </c>
      <c r="D160" s="4" t="s">
        <v>33</v>
      </c>
      <c r="E160" s="5" t="s">
        <v>34</v>
      </c>
      <c r="F160" s="4" t="s">
        <v>594</v>
      </c>
      <c r="G160" s="4" t="s">
        <v>26</v>
      </c>
      <c r="H160" s="4" t="s">
        <v>1042</v>
      </c>
      <c r="I160" s="12">
        <v>5.9</v>
      </c>
      <c r="J160" s="12">
        <v>5.9</v>
      </c>
      <c r="K160" s="12"/>
      <c r="L160" s="12"/>
      <c r="M160" s="64"/>
      <c r="N160" s="12"/>
      <c r="O160" s="12"/>
      <c r="P160" s="12"/>
      <c r="Q160" s="12"/>
      <c r="R160" s="12"/>
      <c r="S160" s="12"/>
      <c r="T160" s="12"/>
      <c r="U160" s="12"/>
      <c r="V160" s="12"/>
      <c r="W160" s="7"/>
      <c r="X160" s="12"/>
      <c r="Y160" s="7"/>
      <c r="Z160" s="7"/>
      <c r="AA160" s="7"/>
      <c r="AB160" s="8">
        <f>1/(1*10^-5)</f>
        <v>99999.999999999985</v>
      </c>
      <c r="AC160" s="8"/>
      <c r="AD160" s="4"/>
      <c r="AE160" s="4"/>
      <c r="AF160" s="4"/>
      <c r="AG160" s="4"/>
      <c r="AH160" s="9"/>
      <c r="AI160" s="9"/>
      <c r="AJ160" s="9"/>
      <c r="AK160" s="9" t="s">
        <v>30</v>
      </c>
      <c r="AL160" s="10"/>
      <c r="AM160" s="10"/>
      <c r="AN160" s="10"/>
      <c r="AO160" s="10"/>
      <c r="AP160" s="10"/>
      <c r="AQ160" s="11">
        <v>13</v>
      </c>
      <c r="AR160" s="4"/>
      <c r="AS160" s="10"/>
      <c r="AT160" s="10"/>
      <c r="AU160" s="10"/>
      <c r="AV160" s="10"/>
      <c r="AW160" s="10"/>
      <c r="AX160" s="10"/>
      <c r="AY160" s="10"/>
      <c r="AZ160" s="10"/>
      <c r="BA160" s="10"/>
      <c r="BB160" s="10"/>
      <c r="BC160" s="10"/>
      <c r="BD160" s="10"/>
    </row>
    <row r="161" spans="1:56" ht="30" x14ac:dyDescent="0.25">
      <c r="A161" s="4" t="s">
        <v>583</v>
      </c>
      <c r="B161" s="4"/>
      <c r="C161" s="4" t="s">
        <v>22</v>
      </c>
      <c r="D161" s="4" t="s">
        <v>33</v>
      </c>
      <c r="E161" s="5" t="s">
        <v>34</v>
      </c>
      <c r="F161" s="4" t="s">
        <v>594</v>
      </c>
      <c r="G161" s="4" t="s">
        <v>26</v>
      </c>
      <c r="H161" s="4" t="s">
        <v>1040</v>
      </c>
      <c r="I161" s="12">
        <v>3.3</v>
      </c>
      <c r="J161" s="12">
        <v>3.3</v>
      </c>
      <c r="K161" s="12"/>
      <c r="L161" s="12"/>
      <c r="M161" s="64"/>
      <c r="N161" s="12"/>
      <c r="O161" s="12"/>
      <c r="P161" s="12"/>
      <c r="Q161" s="12"/>
      <c r="R161" s="12"/>
      <c r="S161" s="12"/>
      <c r="T161" s="12"/>
      <c r="U161" s="12"/>
      <c r="V161" s="12"/>
      <c r="W161" s="7"/>
      <c r="X161" s="12"/>
      <c r="Y161" s="7"/>
      <c r="Z161" s="7"/>
      <c r="AA161" s="7"/>
      <c r="AB161" s="8">
        <v>242700</v>
      </c>
      <c r="AC161" s="8"/>
      <c r="AD161" s="4"/>
      <c r="AE161" s="4"/>
      <c r="AF161" s="4"/>
      <c r="AG161" s="4"/>
      <c r="AH161" s="9"/>
      <c r="AI161" s="9"/>
      <c r="AJ161" s="9"/>
      <c r="AK161" s="9" t="s">
        <v>30</v>
      </c>
      <c r="AL161" s="10"/>
      <c r="AM161" s="10"/>
      <c r="AN161" s="10"/>
      <c r="AO161" s="10"/>
      <c r="AP161" s="10"/>
      <c r="AQ161" s="11">
        <v>13</v>
      </c>
      <c r="AR161" s="4"/>
      <c r="AS161" s="10"/>
      <c r="AT161" s="10"/>
      <c r="AU161" s="10"/>
      <c r="AV161" s="10"/>
      <c r="AW161" s="10"/>
      <c r="AX161" s="10"/>
      <c r="AY161" s="10"/>
      <c r="AZ161" s="10"/>
      <c r="BA161" s="10"/>
      <c r="BB161" s="10"/>
      <c r="BC161" s="10"/>
      <c r="BD161" s="10"/>
    </row>
    <row r="162" spans="1:56" ht="30" x14ac:dyDescent="0.25">
      <c r="A162" s="4" t="s">
        <v>584</v>
      </c>
      <c r="B162" s="4"/>
      <c r="C162" s="4" t="s">
        <v>22</v>
      </c>
      <c r="D162" s="4" t="s">
        <v>33</v>
      </c>
      <c r="E162" s="5" t="s">
        <v>34</v>
      </c>
      <c r="F162" s="4" t="s">
        <v>594</v>
      </c>
      <c r="G162" s="4" t="s">
        <v>26</v>
      </c>
      <c r="H162" s="4" t="s">
        <v>1040</v>
      </c>
      <c r="I162" s="12">
        <v>0.2</v>
      </c>
      <c r="J162" s="12">
        <v>0.2</v>
      </c>
      <c r="K162" s="12"/>
      <c r="L162" s="12"/>
      <c r="M162" s="64"/>
      <c r="N162" s="12"/>
      <c r="O162" s="12"/>
      <c r="P162" s="12"/>
      <c r="Q162" s="12"/>
      <c r="R162" s="12"/>
      <c r="S162" s="12"/>
      <c r="T162" s="12"/>
      <c r="U162" s="12"/>
      <c r="V162" s="12"/>
      <c r="W162" s="7"/>
      <c r="X162" s="12"/>
      <c r="Y162" s="7"/>
      <c r="Z162" s="7"/>
      <c r="AA162" s="7"/>
      <c r="AB162" s="8">
        <f>1/(1*10^-6)</f>
        <v>1000000</v>
      </c>
      <c r="AC162" s="8"/>
      <c r="AD162" s="4"/>
      <c r="AE162" s="4"/>
      <c r="AF162" s="4"/>
      <c r="AG162" s="4"/>
      <c r="AH162" s="9"/>
      <c r="AI162" s="9"/>
      <c r="AJ162" s="9"/>
      <c r="AK162" s="9" t="s">
        <v>30</v>
      </c>
      <c r="AL162" s="10"/>
      <c r="AM162" s="10"/>
      <c r="AN162" s="10"/>
      <c r="AO162" s="10"/>
      <c r="AP162" s="10"/>
      <c r="AQ162" s="11">
        <v>13</v>
      </c>
      <c r="AR162" s="4"/>
      <c r="AS162" s="10"/>
      <c r="AT162" s="10"/>
      <c r="AU162" s="10"/>
      <c r="AV162" s="10"/>
      <c r="AW162" s="10"/>
      <c r="AX162" s="10"/>
      <c r="AY162" s="10"/>
      <c r="AZ162" s="10"/>
      <c r="BA162" s="10"/>
      <c r="BB162" s="10"/>
      <c r="BC162" s="10"/>
      <c r="BD162" s="10"/>
    </row>
    <row r="163" spans="1:56" ht="30" x14ac:dyDescent="0.25">
      <c r="A163" s="4" t="s">
        <v>602</v>
      </c>
      <c r="B163" s="4"/>
      <c r="C163" s="4" t="s">
        <v>22</v>
      </c>
      <c r="D163" s="4" t="s">
        <v>33</v>
      </c>
      <c r="E163" s="5" t="s">
        <v>34</v>
      </c>
      <c r="F163" s="4" t="s">
        <v>594</v>
      </c>
      <c r="G163" s="4" t="s">
        <v>26</v>
      </c>
      <c r="H163" s="4" t="s">
        <v>1042</v>
      </c>
      <c r="I163" s="12">
        <v>0.6</v>
      </c>
      <c r="J163" s="12">
        <v>0.6</v>
      </c>
      <c r="K163" s="12"/>
      <c r="L163" s="12"/>
      <c r="M163" s="64"/>
      <c r="N163" s="12"/>
      <c r="O163" s="12"/>
      <c r="P163" s="12"/>
      <c r="Q163" s="12"/>
      <c r="R163" s="12"/>
      <c r="S163" s="12"/>
      <c r="T163" s="12"/>
      <c r="U163" s="12"/>
      <c r="V163" s="12"/>
      <c r="W163" s="7"/>
      <c r="X163" s="12"/>
      <c r="Y163" s="7"/>
      <c r="Z163" s="7"/>
      <c r="AA163" s="7"/>
      <c r="AB163" s="8">
        <f>1/(1*10^-5)</f>
        <v>99999.999999999985</v>
      </c>
      <c r="AC163" s="8"/>
      <c r="AD163" s="4"/>
      <c r="AE163" s="4"/>
      <c r="AF163" s="4"/>
      <c r="AG163" s="4"/>
      <c r="AH163" s="9"/>
      <c r="AI163" s="9"/>
      <c r="AJ163" s="9"/>
      <c r="AK163" s="9" t="s">
        <v>30</v>
      </c>
      <c r="AL163" s="10"/>
      <c r="AM163" s="10"/>
      <c r="AN163" s="10"/>
      <c r="AO163" s="10"/>
      <c r="AP163" s="10"/>
      <c r="AQ163" s="11">
        <v>13</v>
      </c>
      <c r="AR163" s="4"/>
      <c r="AS163" s="10"/>
      <c r="AT163" s="10"/>
      <c r="AU163" s="10"/>
      <c r="AV163" s="10"/>
      <c r="AW163" s="10"/>
      <c r="AX163" s="10"/>
      <c r="AY163" s="10"/>
      <c r="AZ163" s="10"/>
      <c r="BA163" s="10"/>
      <c r="BB163" s="10"/>
      <c r="BC163" s="10"/>
      <c r="BD163" s="10"/>
    </row>
    <row r="164" spans="1:56" ht="30" x14ac:dyDescent="0.25">
      <c r="A164" s="4" t="s">
        <v>603</v>
      </c>
      <c r="B164" s="4"/>
      <c r="C164" s="4" t="s">
        <v>22</v>
      </c>
      <c r="D164" s="4" t="s">
        <v>33</v>
      </c>
      <c r="E164" s="5" t="s">
        <v>34</v>
      </c>
      <c r="F164" s="4" t="s">
        <v>594</v>
      </c>
      <c r="G164" s="4" t="s">
        <v>26</v>
      </c>
      <c r="H164" s="4" t="s">
        <v>1042</v>
      </c>
      <c r="I164" s="12">
        <v>1.36</v>
      </c>
      <c r="J164" s="12">
        <v>1.36</v>
      </c>
      <c r="K164" s="12"/>
      <c r="L164" s="12"/>
      <c r="M164" s="64"/>
      <c r="N164" s="12"/>
      <c r="O164" s="12"/>
      <c r="P164" s="12"/>
      <c r="Q164" s="12"/>
      <c r="R164" s="12"/>
      <c r="S164" s="12"/>
      <c r="T164" s="12"/>
      <c r="U164" s="12"/>
      <c r="V164" s="12"/>
      <c r="W164" s="7"/>
      <c r="X164" s="12"/>
      <c r="Y164" s="7"/>
      <c r="Z164" s="7"/>
      <c r="AA164" s="7"/>
      <c r="AB164" s="8">
        <f>1/(1*10^-5)</f>
        <v>99999.999999999985</v>
      </c>
      <c r="AC164" s="8"/>
      <c r="AD164" s="4"/>
      <c r="AE164" s="4"/>
      <c r="AF164" s="4"/>
      <c r="AG164" s="4"/>
      <c r="AH164" s="9"/>
      <c r="AI164" s="9"/>
      <c r="AJ164" s="9"/>
      <c r="AK164" s="9" t="s">
        <v>30</v>
      </c>
      <c r="AL164" s="10"/>
      <c r="AM164" s="10"/>
      <c r="AN164" s="10"/>
      <c r="AO164" s="10"/>
      <c r="AP164" s="10"/>
      <c r="AQ164" s="11">
        <v>13</v>
      </c>
      <c r="AR164" s="4"/>
      <c r="AS164" s="10"/>
      <c r="AT164" s="10"/>
      <c r="AU164" s="10"/>
      <c r="AV164" s="10"/>
      <c r="AW164" s="10"/>
      <c r="AX164" s="10"/>
      <c r="AY164" s="10"/>
      <c r="AZ164" s="10"/>
      <c r="BA164" s="10"/>
      <c r="BB164" s="10"/>
      <c r="BC164" s="10"/>
      <c r="BD164" s="10"/>
    </row>
    <row r="165" spans="1:56" ht="30" x14ac:dyDescent="0.25">
      <c r="A165" s="4" t="s">
        <v>586</v>
      </c>
      <c r="B165" s="4"/>
      <c r="C165" s="4" t="s">
        <v>22</v>
      </c>
      <c r="D165" s="4" t="s">
        <v>33</v>
      </c>
      <c r="E165" s="5" t="s">
        <v>34</v>
      </c>
      <c r="F165" s="4" t="s">
        <v>594</v>
      </c>
      <c r="G165" s="4" t="s">
        <v>26</v>
      </c>
      <c r="H165" s="4" t="s">
        <v>1040</v>
      </c>
      <c r="I165" s="12">
        <v>0.2</v>
      </c>
      <c r="J165" s="12">
        <v>0.2</v>
      </c>
      <c r="K165" s="12"/>
      <c r="L165" s="12"/>
      <c r="M165" s="64"/>
      <c r="N165" s="12"/>
      <c r="O165" s="12"/>
      <c r="P165" s="12"/>
      <c r="Q165" s="12"/>
      <c r="R165" s="12"/>
      <c r="S165" s="12"/>
      <c r="T165" s="12"/>
      <c r="U165" s="12"/>
      <c r="V165" s="12"/>
      <c r="W165" s="7"/>
      <c r="X165" s="12"/>
      <c r="Y165" s="7"/>
      <c r="Z165" s="7"/>
      <c r="AA165" s="7"/>
      <c r="AB165" s="8">
        <f>1/(1*10^-5)</f>
        <v>99999.999999999985</v>
      </c>
      <c r="AC165" s="8"/>
      <c r="AD165" s="4"/>
      <c r="AE165" s="4"/>
      <c r="AF165" s="4"/>
      <c r="AG165" s="4"/>
      <c r="AH165" s="9"/>
      <c r="AI165" s="9"/>
      <c r="AJ165" s="9"/>
      <c r="AK165" s="9" t="s">
        <v>30</v>
      </c>
      <c r="AL165" s="10"/>
      <c r="AM165" s="10"/>
      <c r="AN165" s="10"/>
      <c r="AO165" s="10"/>
      <c r="AP165" s="10"/>
      <c r="AQ165" s="11">
        <v>13</v>
      </c>
      <c r="AR165" s="4"/>
      <c r="AS165" s="10"/>
      <c r="AT165" s="10"/>
      <c r="AU165" s="10"/>
      <c r="AV165" s="10"/>
      <c r="AW165" s="10"/>
      <c r="AX165" s="10"/>
      <c r="AY165" s="10"/>
      <c r="AZ165" s="10"/>
      <c r="BA165" s="10"/>
      <c r="BB165" s="10"/>
      <c r="BC165" s="10"/>
      <c r="BD165" s="10"/>
    </row>
    <row r="166" spans="1:56" ht="30" x14ac:dyDescent="0.25">
      <c r="A166" s="4" t="s">
        <v>590</v>
      </c>
      <c r="B166" s="4"/>
      <c r="C166" s="4" t="s">
        <v>22</v>
      </c>
      <c r="D166" s="4" t="s">
        <v>33</v>
      </c>
      <c r="E166" s="5" t="s">
        <v>34</v>
      </c>
      <c r="F166" s="4" t="s">
        <v>594</v>
      </c>
      <c r="G166" s="4" t="s">
        <v>26</v>
      </c>
      <c r="H166" s="4" t="s">
        <v>1040</v>
      </c>
      <c r="I166" s="12">
        <v>0.1</v>
      </c>
      <c r="J166" s="12">
        <v>0.1</v>
      </c>
      <c r="K166" s="12"/>
      <c r="L166" s="12"/>
      <c r="M166" s="64"/>
      <c r="N166" s="12"/>
      <c r="O166" s="12"/>
      <c r="P166" s="12"/>
      <c r="Q166" s="12"/>
      <c r="R166" s="12"/>
      <c r="S166" s="12"/>
      <c r="T166" s="12"/>
      <c r="U166" s="12"/>
      <c r="V166" s="12"/>
      <c r="W166" s="7"/>
      <c r="X166" s="12"/>
      <c r="Y166" s="7"/>
      <c r="Z166" s="7"/>
      <c r="AA166" s="7"/>
      <c r="AB166" s="8">
        <f t="shared" ref="AB166:AB172" si="0">1/(1*10^-5)</f>
        <v>99999.999999999985</v>
      </c>
      <c r="AC166" s="8"/>
      <c r="AD166" s="4"/>
      <c r="AE166" s="4"/>
      <c r="AF166" s="4"/>
      <c r="AG166" s="4"/>
      <c r="AH166" s="9"/>
      <c r="AI166" s="9"/>
      <c r="AJ166" s="9"/>
      <c r="AK166" s="9" t="s">
        <v>30</v>
      </c>
      <c r="AL166" s="10"/>
      <c r="AM166" s="10"/>
      <c r="AN166" s="10"/>
      <c r="AO166" s="10"/>
      <c r="AP166" s="10"/>
      <c r="AQ166" s="11">
        <v>13</v>
      </c>
      <c r="AR166" s="4"/>
      <c r="AS166" s="10"/>
      <c r="AT166" s="10"/>
      <c r="AU166" s="10"/>
      <c r="AV166" s="10"/>
      <c r="AW166" s="10"/>
      <c r="AX166" s="10"/>
      <c r="AY166" s="10"/>
      <c r="AZ166" s="10"/>
      <c r="BA166" s="10"/>
      <c r="BB166" s="10"/>
      <c r="BC166" s="10"/>
      <c r="BD166" s="10"/>
    </row>
    <row r="167" spans="1:56" ht="30" x14ac:dyDescent="0.25">
      <c r="A167" s="4" t="s">
        <v>592</v>
      </c>
      <c r="B167" s="4"/>
      <c r="C167" s="4" t="s">
        <v>22</v>
      </c>
      <c r="D167" s="4" t="s">
        <v>33</v>
      </c>
      <c r="E167" s="5" t="s">
        <v>34</v>
      </c>
      <c r="F167" s="4" t="s">
        <v>594</v>
      </c>
      <c r="G167" s="4" t="s">
        <v>26</v>
      </c>
      <c r="H167" s="4" t="s">
        <v>1042</v>
      </c>
      <c r="I167" s="12">
        <v>2.09</v>
      </c>
      <c r="J167" s="12">
        <v>2.09</v>
      </c>
      <c r="K167" s="12"/>
      <c r="L167" s="12"/>
      <c r="M167" s="64"/>
      <c r="N167" s="12"/>
      <c r="O167" s="12"/>
      <c r="P167" s="12"/>
      <c r="Q167" s="12"/>
      <c r="R167" s="12"/>
      <c r="S167" s="12"/>
      <c r="T167" s="12"/>
      <c r="U167" s="12"/>
      <c r="V167" s="12"/>
      <c r="W167" s="7"/>
      <c r="X167" s="12"/>
      <c r="Y167" s="7"/>
      <c r="Z167" s="7"/>
      <c r="AA167" s="7"/>
      <c r="AB167" s="8">
        <f t="shared" si="0"/>
        <v>99999.999999999985</v>
      </c>
      <c r="AC167" s="8"/>
      <c r="AD167" s="4"/>
      <c r="AE167" s="4"/>
      <c r="AF167" s="4"/>
      <c r="AG167" s="4"/>
      <c r="AH167" s="9"/>
      <c r="AI167" s="9"/>
      <c r="AJ167" s="9"/>
      <c r="AK167" s="9" t="s">
        <v>30</v>
      </c>
      <c r="AL167" s="10"/>
      <c r="AM167" s="10"/>
      <c r="AN167" s="10"/>
      <c r="AO167" s="10"/>
      <c r="AP167" s="10"/>
      <c r="AQ167" s="11">
        <v>13</v>
      </c>
      <c r="AR167" s="4"/>
      <c r="AS167" s="10"/>
      <c r="AT167" s="10"/>
      <c r="AU167" s="10"/>
      <c r="AV167" s="10"/>
      <c r="AW167" s="10"/>
      <c r="AX167" s="10"/>
      <c r="AY167" s="10"/>
      <c r="AZ167" s="10"/>
      <c r="BA167" s="10"/>
      <c r="BB167" s="10"/>
      <c r="BC167" s="10"/>
      <c r="BD167" s="10"/>
    </row>
    <row r="168" spans="1:56" ht="30" x14ac:dyDescent="0.25">
      <c r="A168" s="4" t="s">
        <v>604</v>
      </c>
      <c r="B168" s="4"/>
      <c r="C168" s="4" t="s">
        <v>22</v>
      </c>
      <c r="D168" s="4" t="s">
        <v>33</v>
      </c>
      <c r="E168" s="5" t="s">
        <v>34</v>
      </c>
      <c r="F168" s="4" t="s">
        <v>594</v>
      </c>
      <c r="G168" s="4" t="s">
        <v>26</v>
      </c>
      <c r="H168" s="4" t="s">
        <v>1042</v>
      </c>
      <c r="I168" s="12">
        <v>2</v>
      </c>
      <c r="J168" s="12">
        <v>2</v>
      </c>
      <c r="K168" s="12"/>
      <c r="L168" s="12"/>
      <c r="M168" s="64"/>
      <c r="N168" s="12"/>
      <c r="O168" s="12"/>
      <c r="P168" s="12"/>
      <c r="Q168" s="12"/>
      <c r="R168" s="12"/>
      <c r="S168" s="12"/>
      <c r="T168" s="12"/>
      <c r="U168" s="12"/>
      <c r="V168" s="12"/>
      <c r="W168" s="7"/>
      <c r="X168" s="12"/>
      <c r="Y168" s="7"/>
      <c r="Z168" s="7"/>
      <c r="AA168" s="7"/>
      <c r="AB168" s="8">
        <f t="shared" si="0"/>
        <v>99999.999999999985</v>
      </c>
      <c r="AC168" s="8"/>
      <c r="AD168" s="4"/>
      <c r="AE168" s="4"/>
      <c r="AF168" s="4"/>
      <c r="AG168" s="4"/>
      <c r="AH168" s="9"/>
      <c r="AI168" s="9"/>
      <c r="AJ168" s="9"/>
      <c r="AK168" s="9" t="s">
        <v>30</v>
      </c>
      <c r="AL168" s="10"/>
      <c r="AM168" s="10"/>
      <c r="AN168" s="10"/>
      <c r="AO168" s="10"/>
      <c r="AP168" s="10"/>
      <c r="AQ168" s="11">
        <v>13</v>
      </c>
      <c r="AR168" s="4"/>
      <c r="AS168" s="10"/>
      <c r="AT168" s="10"/>
      <c r="AU168" s="10"/>
      <c r="AV168" s="10"/>
      <c r="AW168" s="10"/>
      <c r="AX168" s="10"/>
      <c r="AY168" s="10"/>
      <c r="AZ168" s="10"/>
      <c r="BA168" s="10"/>
      <c r="BB168" s="10"/>
      <c r="BC168" s="10"/>
      <c r="BD168" s="10"/>
    </row>
    <row r="169" spans="1:56" ht="30" x14ac:dyDescent="0.25">
      <c r="A169" s="4" t="s">
        <v>605</v>
      </c>
      <c r="B169" s="4"/>
      <c r="C169" s="4" t="s">
        <v>22</v>
      </c>
      <c r="D169" s="4" t="s">
        <v>33</v>
      </c>
      <c r="E169" s="5" t="s">
        <v>34</v>
      </c>
      <c r="F169" s="4" t="s">
        <v>594</v>
      </c>
      <c r="G169" s="4" t="s">
        <v>26</v>
      </c>
      <c r="H169" s="4" t="s">
        <v>1044</v>
      </c>
      <c r="I169" s="12">
        <v>0.23</v>
      </c>
      <c r="J169" s="12">
        <v>0.23</v>
      </c>
      <c r="K169" s="12"/>
      <c r="L169" s="12"/>
      <c r="M169" s="64"/>
      <c r="N169" s="12"/>
      <c r="O169" s="12"/>
      <c r="P169" s="12"/>
      <c r="Q169" s="12"/>
      <c r="R169" s="12"/>
      <c r="S169" s="12"/>
      <c r="T169" s="12"/>
      <c r="U169" s="12"/>
      <c r="V169" s="12"/>
      <c r="W169" s="7"/>
      <c r="X169" s="12"/>
      <c r="Y169" s="7"/>
      <c r="Z169" s="7"/>
      <c r="AA169" s="7"/>
      <c r="AB169" s="8">
        <f t="shared" si="0"/>
        <v>99999.999999999985</v>
      </c>
      <c r="AC169" s="8"/>
      <c r="AD169" s="4"/>
      <c r="AE169" s="4"/>
      <c r="AF169" s="4"/>
      <c r="AG169" s="4"/>
      <c r="AH169" s="9"/>
      <c r="AI169" s="9"/>
      <c r="AJ169" s="9"/>
      <c r="AK169" s="9" t="s">
        <v>30</v>
      </c>
      <c r="AL169" s="10"/>
      <c r="AM169" s="10"/>
      <c r="AN169" s="10"/>
      <c r="AO169" s="10"/>
      <c r="AP169" s="10"/>
      <c r="AQ169" s="11">
        <v>13</v>
      </c>
      <c r="AR169" s="4"/>
      <c r="AS169" s="10"/>
      <c r="AT169" s="10"/>
      <c r="AU169" s="10"/>
      <c r="AV169" s="10"/>
      <c r="AW169" s="10"/>
      <c r="AX169" s="10"/>
      <c r="AY169" s="10"/>
      <c r="AZ169" s="10"/>
      <c r="BA169" s="10"/>
      <c r="BB169" s="10"/>
      <c r="BC169" s="10"/>
      <c r="BD169" s="10"/>
    </row>
    <row r="170" spans="1:56" ht="30" x14ac:dyDescent="0.25">
      <c r="A170" s="4" t="s">
        <v>606</v>
      </c>
      <c r="B170" s="4"/>
      <c r="C170" s="4" t="s">
        <v>22</v>
      </c>
      <c r="D170" s="4" t="s">
        <v>33</v>
      </c>
      <c r="E170" s="5" t="s">
        <v>34</v>
      </c>
      <c r="F170" s="4" t="s">
        <v>594</v>
      </c>
      <c r="G170" s="4" t="s">
        <v>26</v>
      </c>
      <c r="H170" s="4" t="s">
        <v>1042</v>
      </c>
      <c r="I170" s="12">
        <v>0.45</v>
      </c>
      <c r="J170" s="12">
        <v>0.45</v>
      </c>
      <c r="K170" s="12"/>
      <c r="L170" s="12"/>
      <c r="M170" s="64"/>
      <c r="N170" s="12"/>
      <c r="O170" s="12"/>
      <c r="P170" s="12"/>
      <c r="Q170" s="12"/>
      <c r="R170" s="12"/>
      <c r="S170" s="12"/>
      <c r="T170" s="12"/>
      <c r="U170" s="12"/>
      <c r="V170" s="12"/>
      <c r="W170" s="7"/>
      <c r="X170" s="12"/>
      <c r="Y170" s="7"/>
      <c r="Z170" s="7"/>
      <c r="AA170" s="7"/>
      <c r="AB170" s="8">
        <f t="shared" si="0"/>
        <v>99999.999999999985</v>
      </c>
      <c r="AC170" s="8"/>
      <c r="AD170" s="4"/>
      <c r="AE170" s="4"/>
      <c r="AF170" s="4"/>
      <c r="AG170" s="4"/>
      <c r="AH170" s="9"/>
      <c r="AI170" s="9"/>
      <c r="AJ170" s="9"/>
      <c r="AK170" s="9" t="s">
        <v>30</v>
      </c>
      <c r="AL170" s="10"/>
      <c r="AM170" s="10"/>
      <c r="AN170" s="10"/>
      <c r="AO170" s="10"/>
      <c r="AP170" s="10"/>
      <c r="AQ170" s="11">
        <v>13</v>
      </c>
      <c r="AR170" s="4"/>
      <c r="AS170" s="10"/>
      <c r="AT170" s="10"/>
      <c r="AU170" s="10"/>
      <c r="AV170" s="10"/>
      <c r="AW170" s="10"/>
      <c r="AX170" s="10"/>
      <c r="AY170" s="10"/>
      <c r="AZ170" s="10"/>
      <c r="BA170" s="10"/>
      <c r="BB170" s="10"/>
      <c r="BC170" s="10"/>
      <c r="BD170" s="10"/>
    </row>
    <row r="171" spans="1:56" ht="30" x14ac:dyDescent="0.25">
      <c r="A171" s="4" t="s">
        <v>607</v>
      </c>
      <c r="B171" s="4"/>
      <c r="C171" s="4" t="s">
        <v>22</v>
      </c>
      <c r="D171" s="4" t="s">
        <v>33</v>
      </c>
      <c r="E171" s="5" t="s">
        <v>34</v>
      </c>
      <c r="F171" s="4" t="s">
        <v>594</v>
      </c>
      <c r="G171" s="4" t="s">
        <v>26</v>
      </c>
      <c r="H171" s="4" t="s">
        <v>1040</v>
      </c>
      <c r="I171" s="12">
        <v>1.36</v>
      </c>
      <c r="J171" s="12">
        <v>1.36</v>
      </c>
      <c r="K171" s="12"/>
      <c r="L171" s="12"/>
      <c r="M171" s="64"/>
      <c r="N171" s="12"/>
      <c r="O171" s="12"/>
      <c r="P171" s="12"/>
      <c r="Q171" s="12"/>
      <c r="R171" s="12"/>
      <c r="S171" s="12"/>
      <c r="T171" s="12"/>
      <c r="U171" s="12"/>
      <c r="V171" s="12"/>
      <c r="W171" s="7"/>
      <c r="X171" s="12"/>
      <c r="Y171" s="7"/>
      <c r="Z171" s="7"/>
      <c r="AA171" s="7"/>
      <c r="AB171" s="8">
        <f t="shared" si="0"/>
        <v>99999.999999999985</v>
      </c>
      <c r="AC171" s="8"/>
      <c r="AD171" s="4"/>
      <c r="AE171" s="4"/>
      <c r="AF171" s="4"/>
      <c r="AG171" s="4"/>
      <c r="AH171" s="9"/>
      <c r="AI171" s="9"/>
      <c r="AJ171" s="9"/>
      <c r="AK171" s="9" t="s">
        <v>30</v>
      </c>
      <c r="AL171" s="10"/>
      <c r="AM171" s="10"/>
      <c r="AN171" s="10"/>
      <c r="AO171" s="10"/>
      <c r="AP171" s="10"/>
      <c r="AQ171" s="11">
        <v>13</v>
      </c>
      <c r="AR171" s="4"/>
      <c r="AS171" s="10"/>
      <c r="AT171" s="10"/>
      <c r="AU171" s="10"/>
      <c r="AV171" s="10"/>
      <c r="AW171" s="10"/>
      <c r="AX171" s="10"/>
      <c r="AY171" s="10"/>
      <c r="AZ171" s="10"/>
      <c r="BA171" s="10"/>
      <c r="BB171" s="10"/>
      <c r="BC171" s="10"/>
      <c r="BD171" s="10"/>
    </row>
    <row r="172" spans="1:56" ht="30" x14ac:dyDescent="0.25">
      <c r="A172" s="4" t="s">
        <v>608</v>
      </c>
      <c r="B172" s="4"/>
      <c r="C172" s="4" t="s">
        <v>22</v>
      </c>
      <c r="D172" s="4" t="s">
        <v>33</v>
      </c>
      <c r="E172" s="5" t="s">
        <v>34</v>
      </c>
      <c r="F172" s="4" t="s">
        <v>594</v>
      </c>
      <c r="G172" s="4" t="s">
        <v>26</v>
      </c>
      <c r="H172" s="4" t="s">
        <v>1042</v>
      </c>
      <c r="I172" s="12">
        <v>0.91</v>
      </c>
      <c r="J172" s="12">
        <v>0.91</v>
      </c>
      <c r="K172" s="12"/>
      <c r="L172" s="12"/>
      <c r="M172" s="64"/>
      <c r="N172" s="12"/>
      <c r="O172" s="12"/>
      <c r="P172" s="12"/>
      <c r="Q172" s="12"/>
      <c r="R172" s="12"/>
      <c r="S172" s="12"/>
      <c r="T172" s="12"/>
      <c r="U172" s="12"/>
      <c r="V172" s="12"/>
      <c r="W172" s="7"/>
      <c r="X172" s="12"/>
      <c r="Y172" s="7"/>
      <c r="Z172" s="7"/>
      <c r="AA172" s="7"/>
      <c r="AB172" s="8">
        <f t="shared" si="0"/>
        <v>99999.999999999985</v>
      </c>
      <c r="AC172" s="8"/>
      <c r="AD172" s="4"/>
      <c r="AE172" s="4"/>
      <c r="AF172" s="4"/>
      <c r="AG172" s="4"/>
      <c r="AH172" s="9"/>
      <c r="AI172" s="9"/>
      <c r="AJ172" s="9"/>
      <c r="AK172" s="9" t="s">
        <v>30</v>
      </c>
      <c r="AL172" s="10"/>
      <c r="AM172" s="10"/>
      <c r="AN172" s="10"/>
      <c r="AO172" s="10"/>
      <c r="AP172" s="10"/>
      <c r="AQ172" s="11">
        <v>13</v>
      </c>
      <c r="AR172" s="4"/>
      <c r="AS172" s="10"/>
      <c r="AT172" s="10"/>
      <c r="AU172" s="10"/>
      <c r="AV172" s="10"/>
      <c r="AW172" s="10"/>
      <c r="AX172" s="10"/>
      <c r="AY172" s="10"/>
      <c r="AZ172" s="10"/>
      <c r="BA172" s="10"/>
      <c r="BB172" s="10"/>
      <c r="BC172" s="10"/>
      <c r="BD172" s="10"/>
    </row>
    <row r="173" spans="1:56" ht="30" x14ac:dyDescent="0.25">
      <c r="A173" s="4" t="s">
        <v>609</v>
      </c>
      <c r="B173" s="4"/>
      <c r="C173" s="4" t="s">
        <v>22</v>
      </c>
      <c r="D173" s="4" t="s">
        <v>33</v>
      </c>
      <c r="E173" s="5" t="s">
        <v>34</v>
      </c>
      <c r="F173" s="4" t="s">
        <v>594</v>
      </c>
      <c r="G173" s="4" t="s">
        <v>26</v>
      </c>
      <c r="H173" s="4" t="s">
        <v>1042</v>
      </c>
      <c r="I173" s="12">
        <v>1.36</v>
      </c>
      <c r="J173" s="12">
        <v>1.36</v>
      </c>
      <c r="K173" s="12"/>
      <c r="L173" s="12"/>
      <c r="M173" s="64"/>
      <c r="N173" s="12"/>
      <c r="O173" s="12"/>
      <c r="P173" s="12"/>
      <c r="Q173" s="12"/>
      <c r="R173" s="12"/>
      <c r="S173" s="12"/>
      <c r="T173" s="12"/>
      <c r="U173" s="12"/>
      <c r="V173" s="12"/>
      <c r="W173" s="7"/>
      <c r="X173" s="12"/>
      <c r="Y173" s="7"/>
      <c r="Z173" s="7"/>
      <c r="AA173" s="7"/>
      <c r="AB173" s="8">
        <f>1/(2.33*10^-5)</f>
        <v>42918.454935622307</v>
      </c>
      <c r="AC173" s="8"/>
      <c r="AD173" s="4"/>
      <c r="AE173" s="4"/>
      <c r="AF173" s="4"/>
      <c r="AG173" s="4"/>
      <c r="AH173" s="9"/>
      <c r="AI173" s="9"/>
      <c r="AJ173" s="9"/>
      <c r="AK173" s="9" t="s">
        <v>30</v>
      </c>
      <c r="AL173" s="10"/>
      <c r="AM173" s="10"/>
      <c r="AN173" s="10"/>
      <c r="AO173" s="10"/>
      <c r="AP173" s="10"/>
      <c r="AQ173" s="11">
        <v>13</v>
      </c>
      <c r="AR173" s="4"/>
      <c r="AS173" s="10"/>
      <c r="AT173" s="10"/>
      <c r="AU173" s="10"/>
      <c r="AV173" s="10"/>
      <c r="AW173" s="10"/>
      <c r="AX173" s="10"/>
      <c r="AY173" s="10"/>
      <c r="AZ173" s="10"/>
      <c r="BA173" s="10"/>
      <c r="BB173" s="10"/>
      <c r="BC173" s="10"/>
      <c r="BD173" s="10"/>
    </row>
    <row r="174" spans="1:56" ht="30" x14ac:dyDescent="0.25">
      <c r="A174" s="4" t="s">
        <v>610</v>
      </c>
      <c r="B174" s="4"/>
      <c r="C174" s="4" t="s">
        <v>22</v>
      </c>
      <c r="D174" s="4" t="s">
        <v>33</v>
      </c>
      <c r="E174" s="5" t="s">
        <v>34</v>
      </c>
      <c r="F174" s="4" t="s">
        <v>594</v>
      </c>
      <c r="G174" s="4" t="s">
        <v>26</v>
      </c>
      <c r="H174" s="4" t="s">
        <v>1044</v>
      </c>
      <c r="I174" s="12">
        <v>0.2</v>
      </c>
      <c r="J174" s="12">
        <v>0.2</v>
      </c>
      <c r="K174" s="12"/>
      <c r="L174" s="12"/>
      <c r="M174" s="64"/>
      <c r="N174" s="12"/>
      <c r="O174" s="12"/>
      <c r="P174" s="12"/>
      <c r="Q174" s="12"/>
      <c r="R174" s="12"/>
      <c r="S174" s="12"/>
      <c r="T174" s="12"/>
      <c r="U174" s="12"/>
      <c r="V174" s="12"/>
      <c r="W174" s="7"/>
      <c r="X174" s="12"/>
      <c r="Y174" s="7"/>
      <c r="Z174" s="7"/>
      <c r="AA174" s="7"/>
      <c r="AB174" s="8"/>
      <c r="AC174" s="7"/>
      <c r="AD174" s="4"/>
      <c r="AE174" s="4"/>
      <c r="AF174" s="4"/>
      <c r="AG174" s="4"/>
      <c r="AH174" s="9"/>
      <c r="AI174" s="9"/>
      <c r="AJ174" s="9"/>
      <c r="AK174" s="9" t="s">
        <v>30</v>
      </c>
      <c r="AL174" s="10"/>
      <c r="AM174" s="10"/>
      <c r="AN174" s="10"/>
      <c r="AO174" s="10"/>
      <c r="AP174" s="10"/>
      <c r="AQ174" s="11">
        <v>13</v>
      </c>
      <c r="AR174" s="4"/>
      <c r="AS174" s="10"/>
      <c r="AT174" s="10"/>
      <c r="AU174" s="10"/>
      <c r="AV174" s="10"/>
      <c r="AW174" s="10"/>
      <c r="AX174" s="10"/>
      <c r="AY174" s="10"/>
      <c r="AZ174" s="10"/>
      <c r="BA174" s="10"/>
      <c r="BB174" s="10"/>
      <c r="BC174" s="10"/>
      <c r="BD174" s="10"/>
    </row>
    <row r="175" spans="1:56" ht="30" x14ac:dyDescent="0.25">
      <c r="A175" s="4" t="s">
        <v>611</v>
      </c>
      <c r="B175" s="4"/>
      <c r="C175" s="4" t="s">
        <v>22</v>
      </c>
      <c r="D175" s="4" t="s">
        <v>33</v>
      </c>
      <c r="E175" s="5" t="s">
        <v>34</v>
      </c>
      <c r="F175" s="4" t="s">
        <v>612</v>
      </c>
      <c r="G175" s="4" t="s">
        <v>26</v>
      </c>
      <c r="H175" s="4" t="s">
        <v>613</v>
      </c>
      <c r="I175" s="12"/>
      <c r="J175" s="12"/>
      <c r="K175" s="12"/>
      <c r="L175" s="12"/>
      <c r="M175" s="64"/>
      <c r="N175" s="12"/>
      <c r="O175" s="12"/>
      <c r="P175" s="12"/>
      <c r="Q175" s="12"/>
      <c r="R175" s="12"/>
      <c r="S175" s="12"/>
      <c r="T175" s="12"/>
      <c r="U175" s="12"/>
      <c r="V175" s="12"/>
      <c r="W175" s="7"/>
      <c r="X175" s="12"/>
      <c r="Y175" s="7"/>
      <c r="Z175" s="7"/>
      <c r="AA175" s="7"/>
      <c r="AB175" s="8">
        <v>77100</v>
      </c>
      <c r="AC175" s="8"/>
      <c r="AD175" s="4"/>
      <c r="AE175" s="4"/>
      <c r="AF175" s="4"/>
      <c r="AG175" s="4"/>
      <c r="AH175" s="9"/>
      <c r="AI175" s="9"/>
      <c r="AJ175" s="9"/>
      <c r="AK175" s="9" t="s">
        <v>30</v>
      </c>
      <c r="AL175" s="10"/>
      <c r="AM175" s="10"/>
      <c r="AN175" s="10"/>
      <c r="AO175" s="10"/>
      <c r="AP175" s="10"/>
      <c r="AQ175" s="11">
        <v>13</v>
      </c>
      <c r="AR175" s="4"/>
      <c r="AS175" s="10"/>
      <c r="AT175" s="10"/>
      <c r="AU175" s="10"/>
      <c r="AV175" s="10"/>
      <c r="AW175" s="10"/>
      <c r="AX175" s="10"/>
      <c r="AY175" s="10"/>
      <c r="AZ175" s="10"/>
      <c r="BA175" s="10"/>
      <c r="BB175" s="10"/>
      <c r="BC175" s="10"/>
      <c r="BD175" s="10"/>
    </row>
    <row r="176" spans="1:56" ht="30" x14ac:dyDescent="0.25">
      <c r="A176" s="4" t="s">
        <v>81</v>
      </c>
      <c r="B176" s="4"/>
      <c r="C176" s="4" t="s">
        <v>22</v>
      </c>
      <c r="D176" s="4" t="s">
        <v>33</v>
      </c>
      <c r="E176" s="5" t="s">
        <v>34</v>
      </c>
      <c r="F176" s="4" t="s">
        <v>612</v>
      </c>
      <c r="G176" s="4" t="s">
        <v>26</v>
      </c>
      <c r="H176" s="4" t="s">
        <v>1054</v>
      </c>
      <c r="I176" s="12">
        <v>5.6</v>
      </c>
      <c r="J176" s="12">
        <v>5.6</v>
      </c>
      <c r="K176" s="12"/>
      <c r="L176" s="12"/>
      <c r="M176" s="64"/>
      <c r="N176" s="12"/>
      <c r="O176" s="12"/>
      <c r="P176" s="12"/>
      <c r="Q176" s="12"/>
      <c r="R176" s="12"/>
      <c r="S176" s="12"/>
      <c r="T176" s="12"/>
      <c r="U176" s="12"/>
      <c r="V176" s="12"/>
      <c r="W176" s="7"/>
      <c r="X176" s="12"/>
      <c r="Y176" s="7"/>
      <c r="Z176" s="7"/>
      <c r="AA176" s="7"/>
      <c r="AB176" s="8">
        <f>1/(8*10^-6)</f>
        <v>125000</v>
      </c>
      <c r="AC176" s="8"/>
      <c r="AD176" s="4"/>
      <c r="AE176" s="4"/>
      <c r="AF176" s="4"/>
      <c r="AG176" s="4"/>
      <c r="AH176" s="9"/>
      <c r="AI176" s="9"/>
      <c r="AJ176" s="9"/>
      <c r="AK176" s="9" t="s">
        <v>30</v>
      </c>
      <c r="AL176" s="10"/>
      <c r="AM176" s="10"/>
      <c r="AN176" s="10"/>
      <c r="AO176" s="10"/>
      <c r="AP176" s="10"/>
      <c r="AQ176" s="11">
        <v>13</v>
      </c>
      <c r="AR176" s="4"/>
      <c r="AS176" s="10"/>
      <c r="AT176" s="10"/>
      <c r="AU176" s="10"/>
      <c r="AV176" s="10"/>
      <c r="AW176" s="10"/>
      <c r="AX176" s="10"/>
      <c r="AY176" s="10"/>
      <c r="AZ176" s="10"/>
      <c r="BA176" s="10"/>
      <c r="BB176" s="10"/>
      <c r="BC176" s="10"/>
      <c r="BD176" s="10"/>
    </row>
    <row r="177" spans="1:56" ht="30" x14ac:dyDescent="0.25">
      <c r="A177" s="4" t="s">
        <v>614</v>
      </c>
      <c r="B177" s="4"/>
      <c r="C177" s="4" t="s">
        <v>22</v>
      </c>
      <c r="D177" s="4" t="s">
        <v>33</v>
      </c>
      <c r="E177" s="5" t="s">
        <v>34</v>
      </c>
      <c r="F177" s="4" t="s">
        <v>612</v>
      </c>
      <c r="G177" s="4" t="s">
        <v>26</v>
      </c>
      <c r="H177" s="4" t="s">
        <v>613</v>
      </c>
      <c r="I177" s="12"/>
      <c r="J177" s="12"/>
      <c r="K177" s="12"/>
      <c r="L177" s="12"/>
      <c r="M177" s="64"/>
      <c r="N177" s="12"/>
      <c r="O177" s="12"/>
      <c r="P177" s="12"/>
      <c r="Q177" s="12"/>
      <c r="R177" s="12"/>
      <c r="S177" s="12"/>
      <c r="T177" s="12"/>
      <c r="U177" s="12"/>
      <c r="V177" s="12"/>
      <c r="W177" s="7"/>
      <c r="X177" s="12"/>
      <c r="Y177" s="7"/>
      <c r="Z177" s="7"/>
      <c r="AA177" s="7"/>
      <c r="AB177" s="8">
        <f>1/(4.67*10^-5)</f>
        <v>21413.276231263382</v>
      </c>
      <c r="AC177" s="8"/>
      <c r="AD177" s="4"/>
      <c r="AE177" s="4"/>
      <c r="AF177" s="4"/>
      <c r="AG177" s="4"/>
      <c r="AH177" s="9"/>
      <c r="AI177" s="9"/>
      <c r="AJ177" s="9"/>
      <c r="AK177" s="9" t="s">
        <v>30</v>
      </c>
      <c r="AL177" s="10"/>
      <c r="AM177" s="10"/>
      <c r="AN177" s="10"/>
      <c r="AO177" s="10"/>
      <c r="AP177" s="10"/>
      <c r="AQ177" s="11">
        <v>13</v>
      </c>
      <c r="AR177" s="4"/>
      <c r="AS177" s="10"/>
      <c r="AT177" s="10"/>
      <c r="AU177" s="10"/>
      <c r="AV177" s="10"/>
      <c r="AW177" s="10"/>
      <c r="AX177" s="10"/>
      <c r="AY177" s="10"/>
      <c r="AZ177" s="10"/>
      <c r="BA177" s="10"/>
      <c r="BB177" s="10"/>
      <c r="BC177" s="10"/>
      <c r="BD177" s="10"/>
    </row>
    <row r="178" spans="1:56" ht="30" x14ac:dyDescent="0.25">
      <c r="A178" s="4" t="s">
        <v>583</v>
      </c>
      <c r="B178" s="4"/>
      <c r="C178" s="4" t="s">
        <v>22</v>
      </c>
      <c r="D178" s="4" t="s">
        <v>33</v>
      </c>
      <c r="E178" s="5" t="s">
        <v>34</v>
      </c>
      <c r="F178" s="4" t="s">
        <v>612</v>
      </c>
      <c r="G178" s="4" t="s">
        <v>26</v>
      </c>
      <c r="H178" s="4" t="s">
        <v>613</v>
      </c>
      <c r="I178" s="12">
        <v>3.3</v>
      </c>
      <c r="J178" s="12">
        <v>3.3</v>
      </c>
      <c r="K178" s="12"/>
      <c r="L178" s="12"/>
      <c r="M178" s="64"/>
      <c r="N178" s="12"/>
      <c r="O178" s="12"/>
      <c r="P178" s="12"/>
      <c r="Q178" s="12"/>
      <c r="R178" s="12"/>
      <c r="S178" s="12"/>
      <c r="T178" s="12"/>
      <c r="U178" s="12"/>
      <c r="V178" s="12"/>
      <c r="W178" s="7"/>
      <c r="X178" s="12"/>
      <c r="Y178" s="7"/>
      <c r="Z178" s="7"/>
      <c r="AA178" s="7"/>
      <c r="AB178" s="8">
        <f>1/(5.99*10^-6)</f>
        <v>166944.9081803005</v>
      </c>
      <c r="AC178" s="8"/>
      <c r="AD178" s="4"/>
      <c r="AE178" s="4"/>
      <c r="AF178" s="4"/>
      <c r="AG178" s="4"/>
      <c r="AH178" s="9"/>
      <c r="AI178" s="9"/>
      <c r="AJ178" s="9"/>
      <c r="AK178" s="9" t="s">
        <v>30</v>
      </c>
      <c r="AL178" s="10"/>
      <c r="AM178" s="10"/>
      <c r="AN178" s="10"/>
      <c r="AO178" s="10"/>
      <c r="AP178" s="10"/>
      <c r="AQ178" s="11">
        <v>13</v>
      </c>
      <c r="AR178" s="4"/>
      <c r="AS178" s="10"/>
      <c r="AT178" s="10"/>
      <c r="AU178" s="10"/>
      <c r="AV178" s="10"/>
      <c r="AW178" s="10"/>
      <c r="AX178" s="10"/>
      <c r="AY178" s="10"/>
      <c r="AZ178" s="10"/>
      <c r="BA178" s="10"/>
      <c r="BB178" s="10"/>
      <c r="BC178" s="10"/>
      <c r="BD178" s="10"/>
    </row>
    <row r="179" spans="1:56" ht="30" x14ac:dyDescent="0.25">
      <c r="A179" s="4" t="s">
        <v>586</v>
      </c>
      <c r="B179" s="4"/>
      <c r="C179" s="4" t="s">
        <v>22</v>
      </c>
      <c r="D179" s="4" t="s">
        <v>33</v>
      </c>
      <c r="E179" s="5" t="s">
        <v>34</v>
      </c>
      <c r="F179" s="4" t="s">
        <v>612</v>
      </c>
      <c r="G179" s="4" t="s">
        <v>26</v>
      </c>
      <c r="H179" s="4" t="s">
        <v>615</v>
      </c>
      <c r="I179" s="12"/>
      <c r="J179" s="12"/>
      <c r="K179" s="12"/>
      <c r="L179" s="12"/>
      <c r="M179" s="64"/>
      <c r="N179" s="12"/>
      <c r="O179" s="12"/>
      <c r="P179" s="12"/>
      <c r="Q179" s="12"/>
      <c r="R179" s="12"/>
      <c r="S179" s="12"/>
      <c r="T179" s="12"/>
      <c r="U179" s="12"/>
      <c r="V179" s="12"/>
      <c r="W179" s="7"/>
      <c r="X179" s="12"/>
      <c r="Y179" s="7"/>
      <c r="Z179" s="7"/>
      <c r="AA179" s="7"/>
      <c r="AB179" s="8">
        <f>1/(1*10^-5)</f>
        <v>99999.999999999985</v>
      </c>
      <c r="AC179" s="8"/>
      <c r="AD179" s="4"/>
      <c r="AE179" s="4"/>
      <c r="AF179" s="4"/>
      <c r="AG179" s="4"/>
      <c r="AH179" s="9"/>
      <c r="AI179" s="9"/>
      <c r="AJ179" s="9"/>
      <c r="AK179" s="9" t="s">
        <v>30</v>
      </c>
      <c r="AL179" s="10"/>
      <c r="AM179" s="10"/>
      <c r="AN179" s="10"/>
      <c r="AO179" s="10"/>
      <c r="AP179" s="10"/>
      <c r="AQ179" s="11">
        <v>13</v>
      </c>
      <c r="AR179" s="4"/>
      <c r="AS179" s="10"/>
      <c r="AT179" s="10"/>
      <c r="AU179" s="10"/>
      <c r="AV179" s="10"/>
      <c r="AW179" s="10"/>
      <c r="AX179" s="10"/>
      <c r="AY179" s="10"/>
      <c r="AZ179" s="10"/>
      <c r="BA179" s="10"/>
      <c r="BB179" s="10"/>
      <c r="BC179" s="10"/>
      <c r="BD179" s="10"/>
    </row>
    <row r="180" spans="1:56" ht="30" x14ac:dyDescent="0.25">
      <c r="A180" s="4" t="s">
        <v>587</v>
      </c>
      <c r="B180" s="4"/>
      <c r="C180" s="4" t="s">
        <v>22</v>
      </c>
      <c r="D180" s="4" t="s">
        <v>33</v>
      </c>
      <c r="E180" s="5" t="s">
        <v>34</v>
      </c>
      <c r="F180" s="4" t="s">
        <v>612</v>
      </c>
      <c r="G180" s="4" t="s">
        <v>26</v>
      </c>
      <c r="H180" s="4" t="s">
        <v>615</v>
      </c>
      <c r="I180" s="12">
        <v>10.9</v>
      </c>
      <c r="J180" s="12">
        <v>10.9</v>
      </c>
      <c r="K180" s="12"/>
      <c r="L180" s="12"/>
      <c r="M180" s="64"/>
      <c r="N180" s="12"/>
      <c r="O180" s="12"/>
      <c r="P180" s="12"/>
      <c r="Q180" s="12"/>
      <c r="R180" s="12"/>
      <c r="S180" s="12"/>
      <c r="T180" s="12"/>
      <c r="U180" s="12"/>
      <c r="V180" s="12"/>
      <c r="W180" s="7"/>
      <c r="X180" s="12"/>
      <c r="Y180" s="7"/>
      <c r="Z180" s="7"/>
      <c r="AA180" s="7"/>
      <c r="AB180" s="8">
        <v>156200</v>
      </c>
      <c r="AC180" s="8"/>
      <c r="AD180" s="4"/>
      <c r="AE180" s="4"/>
      <c r="AF180" s="4"/>
      <c r="AG180" s="4"/>
      <c r="AH180" s="9"/>
      <c r="AI180" s="9"/>
      <c r="AJ180" s="9"/>
      <c r="AK180" s="9" t="s">
        <v>30</v>
      </c>
      <c r="AL180" s="10"/>
      <c r="AM180" s="10"/>
      <c r="AN180" s="10"/>
      <c r="AO180" s="10"/>
      <c r="AP180" s="10"/>
      <c r="AQ180" s="11">
        <v>13</v>
      </c>
      <c r="AR180" s="4"/>
      <c r="AS180" s="10"/>
      <c r="AT180" s="10"/>
      <c r="AU180" s="10"/>
      <c r="AV180" s="10"/>
      <c r="AW180" s="10"/>
      <c r="AX180" s="10"/>
      <c r="AY180" s="10"/>
      <c r="AZ180" s="10"/>
      <c r="BA180" s="10"/>
      <c r="BB180" s="10"/>
      <c r="BC180" s="10"/>
      <c r="BD180" s="10"/>
    </row>
    <row r="181" spans="1:56" ht="30" x14ac:dyDescent="0.25">
      <c r="A181" s="4" t="s">
        <v>1214</v>
      </c>
      <c r="B181" s="4"/>
      <c r="C181" s="4" t="s">
        <v>22</v>
      </c>
      <c r="D181" s="4" t="s">
        <v>33</v>
      </c>
      <c r="E181" s="5" t="s">
        <v>34</v>
      </c>
      <c r="F181" s="4"/>
      <c r="G181" s="4" t="s">
        <v>26</v>
      </c>
      <c r="H181" s="4" t="s">
        <v>615</v>
      </c>
      <c r="I181" s="12">
        <v>2.7</v>
      </c>
      <c r="J181" s="12">
        <v>2.7</v>
      </c>
      <c r="K181" s="12"/>
      <c r="L181" s="12"/>
      <c r="M181" s="64"/>
      <c r="N181" s="12"/>
      <c r="O181" s="12"/>
      <c r="P181" s="12"/>
      <c r="Q181" s="12"/>
      <c r="R181" s="12"/>
      <c r="S181" s="12"/>
      <c r="T181" s="12"/>
      <c r="U181" s="12"/>
      <c r="V181" s="12"/>
      <c r="W181" s="7"/>
      <c r="X181" s="12"/>
      <c r="Y181" s="7"/>
      <c r="Z181" s="7"/>
      <c r="AA181" s="7"/>
      <c r="AB181" s="8">
        <v>2272000</v>
      </c>
      <c r="AC181" s="8"/>
      <c r="AD181" s="4"/>
      <c r="AE181" s="4"/>
      <c r="AF181" s="4"/>
      <c r="AG181" s="4"/>
      <c r="AH181" s="9"/>
      <c r="AI181" s="9"/>
      <c r="AJ181" s="9"/>
      <c r="AK181" s="9"/>
      <c r="AL181" s="10"/>
      <c r="AM181" s="10"/>
      <c r="AN181" s="10"/>
      <c r="AO181" s="10"/>
      <c r="AP181" s="10"/>
      <c r="AQ181" s="11"/>
      <c r="AR181" s="4"/>
      <c r="AS181" s="10"/>
      <c r="AT181" s="10"/>
      <c r="AU181" s="10"/>
      <c r="AV181" s="10"/>
      <c r="AW181" s="10"/>
      <c r="AX181" s="10"/>
      <c r="AY181" s="10"/>
      <c r="AZ181" s="10"/>
      <c r="BA181" s="10"/>
      <c r="BB181" s="10"/>
      <c r="BC181" s="10"/>
      <c r="BD181" s="10"/>
    </row>
    <row r="182" spans="1:56" ht="30" x14ac:dyDescent="0.25">
      <c r="A182" s="4" t="s">
        <v>590</v>
      </c>
      <c r="B182" s="4"/>
      <c r="C182" s="4" t="s">
        <v>22</v>
      </c>
      <c r="D182" s="4" t="s">
        <v>33</v>
      </c>
      <c r="E182" s="5" t="s">
        <v>34</v>
      </c>
      <c r="F182" s="4" t="s">
        <v>612</v>
      </c>
      <c r="G182" s="4" t="s">
        <v>26</v>
      </c>
      <c r="H182" s="4" t="s">
        <v>616</v>
      </c>
      <c r="I182" s="12">
        <v>0.1</v>
      </c>
      <c r="J182" s="12">
        <v>0.1</v>
      </c>
      <c r="K182" s="12"/>
      <c r="L182" s="12"/>
      <c r="M182" s="64"/>
      <c r="N182" s="12"/>
      <c r="O182" s="12"/>
      <c r="P182" s="12"/>
      <c r="Q182" s="12"/>
      <c r="R182" s="12"/>
      <c r="S182" s="12"/>
      <c r="T182" s="12"/>
      <c r="U182" s="12"/>
      <c r="V182" s="12"/>
      <c r="W182" s="7"/>
      <c r="X182" s="12"/>
      <c r="Y182" s="7"/>
      <c r="Z182" s="7"/>
      <c r="AA182" s="7"/>
      <c r="AB182" s="8">
        <f>1/(1*10^-5)</f>
        <v>99999.999999999985</v>
      </c>
      <c r="AC182" s="8"/>
      <c r="AD182" s="4"/>
      <c r="AE182" s="4"/>
      <c r="AF182" s="4"/>
      <c r="AG182" s="4"/>
      <c r="AH182" s="9"/>
      <c r="AI182" s="9"/>
      <c r="AJ182" s="9"/>
      <c r="AK182" s="9" t="s">
        <v>30</v>
      </c>
      <c r="AL182" s="10"/>
      <c r="AM182" s="10"/>
      <c r="AN182" s="10"/>
      <c r="AO182" s="10"/>
      <c r="AP182" s="10"/>
      <c r="AQ182" s="11">
        <v>13</v>
      </c>
      <c r="AR182" s="4"/>
      <c r="AS182" s="10"/>
      <c r="AT182" s="10"/>
      <c r="AU182" s="10"/>
      <c r="AV182" s="10"/>
      <c r="AW182" s="10"/>
      <c r="AX182" s="10"/>
      <c r="AY182" s="10"/>
      <c r="AZ182" s="10"/>
      <c r="BA182" s="10"/>
      <c r="BB182" s="10"/>
      <c r="BC182" s="10"/>
      <c r="BD182" s="10"/>
    </row>
    <row r="183" spans="1:56" ht="30" x14ac:dyDescent="0.25">
      <c r="A183" s="4" t="s">
        <v>1213</v>
      </c>
      <c r="B183" s="4"/>
      <c r="C183" s="4" t="s">
        <v>22</v>
      </c>
      <c r="D183" s="4" t="s">
        <v>33</v>
      </c>
      <c r="E183" s="5" t="s">
        <v>34</v>
      </c>
      <c r="F183" s="4" t="s">
        <v>612</v>
      </c>
      <c r="G183" s="4" t="s">
        <v>26</v>
      </c>
      <c r="H183" s="4" t="s">
        <v>615</v>
      </c>
      <c r="I183" s="12">
        <v>3</v>
      </c>
      <c r="J183" s="12">
        <v>3</v>
      </c>
      <c r="K183" s="12"/>
      <c r="L183" s="12"/>
      <c r="M183" s="64"/>
      <c r="N183" s="12"/>
      <c r="O183" s="12"/>
      <c r="P183" s="12"/>
      <c r="Q183" s="12"/>
      <c r="R183" s="12"/>
      <c r="S183" s="12"/>
      <c r="T183" s="12"/>
      <c r="U183" s="12"/>
      <c r="V183" s="12"/>
      <c r="W183" s="7"/>
      <c r="X183" s="12"/>
      <c r="Y183" s="7"/>
      <c r="Z183" s="7"/>
      <c r="AA183" s="7"/>
      <c r="AB183" s="8">
        <v>117000</v>
      </c>
      <c r="AC183" s="8"/>
      <c r="AD183" s="4"/>
      <c r="AE183" s="4"/>
      <c r="AF183" s="4"/>
      <c r="AG183" s="4"/>
      <c r="AH183" s="9"/>
      <c r="AI183" s="9"/>
      <c r="AJ183" s="9"/>
      <c r="AK183" s="9" t="s">
        <v>30</v>
      </c>
      <c r="AL183" s="10"/>
      <c r="AM183" s="10"/>
      <c r="AN183" s="10"/>
      <c r="AO183" s="10"/>
      <c r="AP183" s="10"/>
      <c r="AQ183" s="11">
        <v>13</v>
      </c>
      <c r="AR183" s="4"/>
      <c r="AS183" s="10"/>
      <c r="AT183" s="10"/>
      <c r="AU183" s="10"/>
      <c r="AV183" s="10"/>
      <c r="AW183" s="10"/>
      <c r="AX183" s="10"/>
      <c r="AY183" s="10"/>
      <c r="AZ183" s="10"/>
      <c r="BA183" s="10"/>
      <c r="BB183" s="10"/>
      <c r="BC183" s="10"/>
      <c r="BD183" s="10"/>
    </row>
    <row r="184" spans="1:56" ht="30" x14ac:dyDescent="0.25">
      <c r="A184" s="4" t="s">
        <v>592</v>
      </c>
      <c r="B184" s="4"/>
      <c r="C184" s="4" t="s">
        <v>22</v>
      </c>
      <c r="D184" s="4" t="s">
        <v>33</v>
      </c>
      <c r="E184" s="5" t="s">
        <v>34</v>
      </c>
      <c r="F184" s="4" t="s">
        <v>612</v>
      </c>
      <c r="G184" s="4" t="s">
        <v>26</v>
      </c>
      <c r="H184" s="4" t="s">
        <v>613</v>
      </c>
      <c r="I184" s="12"/>
      <c r="J184" s="12"/>
      <c r="K184" s="12"/>
      <c r="L184" s="12"/>
      <c r="M184" s="64"/>
      <c r="N184" s="12"/>
      <c r="O184" s="12"/>
      <c r="P184" s="12"/>
      <c r="Q184" s="12"/>
      <c r="R184" s="12"/>
      <c r="S184" s="12"/>
      <c r="T184" s="12"/>
      <c r="U184" s="12"/>
      <c r="V184" s="12"/>
      <c r="W184" s="7"/>
      <c r="X184" s="12"/>
      <c r="Y184" s="7"/>
      <c r="Z184" s="7"/>
      <c r="AA184" s="7"/>
      <c r="AB184" s="8">
        <f>1/(1*10^-5)</f>
        <v>99999.999999999985</v>
      </c>
      <c r="AC184" s="8"/>
      <c r="AD184" s="4"/>
      <c r="AE184" s="4"/>
      <c r="AF184" s="4"/>
      <c r="AG184" s="4"/>
      <c r="AH184" s="9"/>
      <c r="AI184" s="9"/>
      <c r="AJ184" s="9"/>
      <c r="AK184" s="9" t="s">
        <v>30</v>
      </c>
      <c r="AL184" s="10"/>
      <c r="AM184" s="10"/>
      <c r="AN184" s="10"/>
      <c r="AO184" s="10"/>
      <c r="AP184" s="10"/>
      <c r="AQ184" s="11">
        <v>13</v>
      </c>
      <c r="AR184" s="4"/>
      <c r="AS184" s="10"/>
      <c r="AT184" s="10"/>
      <c r="AU184" s="10"/>
      <c r="AV184" s="10"/>
      <c r="AW184" s="10"/>
      <c r="AX184" s="10"/>
      <c r="AY184" s="10"/>
      <c r="AZ184" s="10"/>
      <c r="BA184" s="10"/>
      <c r="BB184" s="10"/>
      <c r="BC184" s="10"/>
      <c r="BD184" s="10"/>
    </row>
    <row r="185" spans="1:56" ht="30" x14ac:dyDescent="0.25">
      <c r="A185" s="4" t="s">
        <v>604</v>
      </c>
      <c r="B185" s="4"/>
      <c r="C185" s="4" t="s">
        <v>22</v>
      </c>
      <c r="D185" s="4" t="s">
        <v>33</v>
      </c>
      <c r="E185" s="5" t="s">
        <v>34</v>
      </c>
      <c r="F185" s="4" t="s">
        <v>612</v>
      </c>
      <c r="G185" s="4" t="s">
        <v>26</v>
      </c>
      <c r="H185" s="4" t="s">
        <v>1054</v>
      </c>
      <c r="I185" s="12"/>
      <c r="J185" s="12"/>
      <c r="K185" s="12"/>
      <c r="L185" s="12"/>
      <c r="M185" s="64"/>
      <c r="N185" s="12"/>
      <c r="O185" s="12"/>
      <c r="P185" s="12"/>
      <c r="Q185" s="12"/>
      <c r="R185" s="12"/>
      <c r="S185" s="12"/>
      <c r="T185" s="12"/>
      <c r="U185" s="12"/>
      <c r="V185" s="12"/>
      <c r="W185" s="7"/>
      <c r="X185" s="12"/>
      <c r="Y185" s="7"/>
      <c r="Z185" s="7"/>
      <c r="AA185" s="7"/>
      <c r="AB185" s="8">
        <f>1/(1*10^-5)</f>
        <v>99999.999999999985</v>
      </c>
      <c r="AC185" s="8"/>
      <c r="AD185" s="4"/>
      <c r="AE185" s="4"/>
      <c r="AF185" s="4"/>
      <c r="AG185" s="4"/>
      <c r="AH185" s="9"/>
      <c r="AI185" s="9"/>
      <c r="AJ185" s="9"/>
      <c r="AK185" s="9" t="s">
        <v>30</v>
      </c>
      <c r="AL185" s="10"/>
      <c r="AM185" s="10"/>
      <c r="AN185" s="10"/>
      <c r="AO185" s="10"/>
      <c r="AP185" s="10"/>
      <c r="AQ185" s="11">
        <v>13</v>
      </c>
      <c r="AR185" s="4"/>
      <c r="AS185" s="10"/>
      <c r="AT185" s="10"/>
      <c r="AU185" s="10"/>
      <c r="AV185" s="10"/>
      <c r="AW185" s="10"/>
      <c r="AX185" s="10"/>
      <c r="AY185" s="10"/>
      <c r="AZ185" s="10"/>
      <c r="BA185" s="10"/>
      <c r="BB185" s="10"/>
      <c r="BC185" s="10"/>
      <c r="BD185" s="10"/>
    </row>
    <row r="186" spans="1:56" ht="30" x14ac:dyDescent="0.25">
      <c r="A186" s="4" t="s">
        <v>591</v>
      </c>
      <c r="B186" s="4"/>
      <c r="C186" s="4" t="s">
        <v>22</v>
      </c>
      <c r="D186" s="4" t="s">
        <v>33</v>
      </c>
      <c r="E186" s="5" t="s">
        <v>34</v>
      </c>
      <c r="F186" s="4" t="s">
        <v>612</v>
      </c>
      <c r="G186" s="4" t="s">
        <v>26</v>
      </c>
      <c r="H186" s="4" t="s">
        <v>615</v>
      </c>
      <c r="I186" s="12">
        <v>39.9</v>
      </c>
      <c r="J186" s="12">
        <v>39.9</v>
      </c>
      <c r="K186" s="12"/>
      <c r="L186" s="12"/>
      <c r="M186" s="64"/>
      <c r="N186" s="12"/>
      <c r="O186" s="12"/>
      <c r="P186" s="12"/>
      <c r="Q186" s="12"/>
      <c r="R186" s="12"/>
      <c r="S186" s="12"/>
      <c r="T186" s="12"/>
      <c r="U186" s="12"/>
      <c r="V186" s="12"/>
      <c r="W186" s="7"/>
      <c r="X186" s="12"/>
      <c r="Y186" s="7"/>
      <c r="Z186" s="7"/>
      <c r="AA186" s="7"/>
      <c r="AB186" s="8">
        <f>1/(6*10^-6)</f>
        <v>166666.66666666666</v>
      </c>
      <c r="AC186" s="8"/>
      <c r="AD186" s="4"/>
      <c r="AE186" s="4"/>
      <c r="AF186" s="4"/>
      <c r="AG186" s="4"/>
      <c r="AH186" s="9"/>
      <c r="AI186" s="9"/>
      <c r="AJ186" s="9"/>
      <c r="AK186" s="9" t="s">
        <v>30</v>
      </c>
      <c r="AL186" s="10"/>
      <c r="AM186" s="10"/>
      <c r="AN186" s="10"/>
      <c r="AO186" s="10"/>
      <c r="AP186" s="10"/>
      <c r="AQ186" s="11">
        <v>13</v>
      </c>
      <c r="AR186" s="4"/>
      <c r="AS186" s="10"/>
      <c r="AT186" s="10"/>
      <c r="AU186" s="10"/>
      <c r="AV186" s="10"/>
      <c r="AW186" s="10"/>
      <c r="AX186" s="10"/>
      <c r="AY186" s="10"/>
      <c r="AZ186" s="10"/>
      <c r="BA186" s="10"/>
      <c r="BB186" s="10"/>
      <c r="BC186" s="10"/>
      <c r="BD186" s="10"/>
    </row>
    <row r="187" spans="1:56" ht="30" x14ac:dyDescent="0.25">
      <c r="A187" s="4" t="s">
        <v>617</v>
      </c>
      <c r="B187" s="4"/>
      <c r="C187" s="4" t="s">
        <v>22</v>
      </c>
      <c r="D187" s="4" t="s">
        <v>33</v>
      </c>
      <c r="E187" s="5" t="s">
        <v>34</v>
      </c>
      <c r="F187" s="4" t="s">
        <v>612</v>
      </c>
      <c r="G187" s="4" t="s">
        <v>26</v>
      </c>
      <c r="H187" s="4" t="s">
        <v>613</v>
      </c>
      <c r="I187" s="12"/>
      <c r="J187" s="12"/>
      <c r="K187" s="12"/>
      <c r="L187" s="12"/>
      <c r="M187" s="64"/>
      <c r="N187" s="12"/>
      <c r="O187" s="12"/>
      <c r="P187" s="12"/>
      <c r="Q187" s="12"/>
      <c r="R187" s="12"/>
      <c r="S187" s="12"/>
      <c r="T187" s="12"/>
      <c r="U187" s="12"/>
      <c r="V187" s="12"/>
      <c r="W187" s="7"/>
      <c r="X187" s="12"/>
      <c r="Y187" s="7"/>
      <c r="Z187" s="7"/>
      <c r="AA187" s="7"/>
      <c r="AB187" s="8">
        <f>1/(1*10^-5)</f>
        <v>99999.999999999985</v>
      </c>
      <c r="AC187" s="8"/>
      <c r="AD187" s="4"/>
      <c r="AE187" s="4"/>
      <c r="AF187" s="4"/>
      <c r="AG187" s="4"/>
      <c r="AH187" s="9"/>
      <c r="AI187" s="9"/>
      <c r="AJ187" s="9"/>
      <c r="AK187" s="9" t="s">
        <v>30</v>
      </c>
      <c r="AL187" s="10"/>
      <c r="AM187" s="10"/>
      <c r="AN187" s="10"/>
      <c r="AO187" s="10"/>
      <c r="AP187" s="10"/>
      <c r="AQ187" s="11">
        <v>13</v>
      </c>
      <c r="AR187" s="4"/>
      <c r="AS187" s="10"/>
      <c r="AT187" s="10"/>
      <c r="AU187" s="10"/>
      <c r="AV187" s="10"/>
      <c r="AW187" s="10"/>
      <c r="AX187" s="10"/>
      <c r="AY187" s="10"/>
      <c r="AZ187" s="10"/>
      <c r="BA187" s="10"/>
      <c r="BB187" s="10"/>
      <c r="BC187" s="10"/>
      <c r="BD187" s="10"/>
    </row>
    <row r="188" spans="1:56" ht="30" x14ac:dyDescent="0.25">
      <c r="A188" s="4" t="s">
        <v>618</v>
      </c>
      <c r="B188" s="4"/>
      <c r="C188" s="4" t="s">
        <v>22</v>
      </c>
      <c r="D188" s="4" t="s">
        <v>33</v>
      </c>
      <c r="E188" s="5" t="s">
        <v>34</v>
      </c>
      <c r="F188" s="4" t="s">
        <v>612</v>
      </c>
      <c r="G188" s="4" t="s">
        <v>26</v>
      </c>
      <c r="H188" s="4" t="s">
        <v>613</v>
      </c>
      <c r="I188" s="12"/>
      <c r="J188" s="12"/>
      <c r="K188" s="12"/>
      <c r="L188" s="12"/>
      <c r="M188" s="64"/>
      <c r="N188" s="12"/>
      <c r="O188" s="12"/>
      <c r="P188" s="12"/>
      <c r="Q188" s="12"/>
      <c r="R188" s="12"/>
      <c r="S188" s="12"/>
      <c r="T188" s="12"/>
      <c r="U188" s="12"/>
      <c r="V188" s="12"/>
      <c r="W188" s="7"/>
      <c r="X188" s="12"/>
      <c r="Y188" s="7"/>
      <c r="Z188" s="7"/>
      <c r="AA188" s="7"/>
      <c r="AB188" s="8">
        <f>1/(1*10^-5)</f>
        <v>99999.999999999985</v>
      </c>
      <c r="AC188" s="8"/>
      <c r="AD188" s="4"/>
      <c r="AE188" s="4"/>
      <c r="AF188" s="4"/>
      <c r="AG188" s="4"/>
      <c r="AH188" s="9"/>
      <c r="AI188" s="9"/>
      <c r="AJ188" s="9"/>
      <c r="AK188" s="9" t="s">
        <v>30</v>
      </c>
      <c r="AL188" s="10"/>
      <c r="AM188" s="10"/>
      <c r="AN188" s="10"/>
      <c r="AO188" s="10"/>
      <c r="AP188" s="10"/>
      <c r="AQ188" s="11">
        <v>13</v>
      </c>
      <c r="AR188" s="4"/>
      <c r="AS188" s="10"/>
      <c r="AT188" s="10"/>
      <c r="AU188" s="10"/>
      <c r="AV188" s="10"/>
      <c r="AW188" s="10"/>
      <c r="AX188" s="10"/>
      <c r="AY188" s="10"/>
      <c r="AZ188" s="10"/>
      <c r="BA188" s="10"/>
      <c r="BB188" s="10"/>
      <c r="BC188" s="10"/>
      <c r="BD188" s="10"/>
    </row>
    <row r="189" spans="1:56" ht="30" x14ac:dyDescent="0.25">
      <c r="A189" s="16" t="s">
        <v>1209</v>
      </c>
      <c r="B189" s="16"/>
      <c r="C189" s="4" t="s">
        <v>22</v>
      </c>
      <c r="D189" s="4" t="s">
        <v>33</v>
      </c>
      <c r="E189" s="5" t="s">
        <v>34</v>
      </c>
      <c r="F189" s="4"/>
      <c r="G189" s="4" t="s">
        <v>26</v>
      </c>
      <c r="H189" s="4" t="s">
        <v>1208</v>
      </c>
      <c r="I189" s="12"/>
      <c r="J189" s="12">
        <v>70.399999999999991</v>
      </c>
      <c r="K189" s="12"/>
      <c r="L189" s="12"/>
      <c r="M189" s="64"/>
      <c r="N189" s="12"/>
      <c r="O189" s="12"/>
      <c r="P189" s="12"/>
      <c r="Q189" s="12"/>
      <c r="R189" s="12"/>
      <c r="S189" s="12"/>
      <c r="T189" s="12"/>
      <c r="U189" s="12">
        <v>56.319999999999993</v>
      </c>
      <c r="V189" s="12">
        <v>56.319999999999993</v>
      </c>
      <c r="W189" s="7"/>
      <c r="X189" s="12"/>
      <c r="Y189" s="7"/>
      <c r="Z189" s="7"/>
      <c r="AA189" s="7"/>
      <c r="AB189" s="8"/>
      <c r="AC189" s="8"/>
      <c r="AD189" s="4"/>
      <c r="AE189" s="4"/>
      <c r="AF189" s="4"/>
      <c r="AG189" s="4"/>
      <c r="AH189" s="9"/>
      <c r="AI189" s="9"/>
      <c r="AJ189" s="9"/>
      <c r="AK189" s="9"/>
      <c r="AL189" s="10"/>
      <c r="AM189" s="10"/>
      <c r="AN189" s="10"/>
      <c r="AO189" s="10"/>
      <c r="AP189" s="10"/>
      <c r="AQ189" s="11"/>
      <c r="AR189" s="4"/>
      <c r="AS189" s="10"/>
      <c r="AT189" s="10"/>
      <c r="AU189" s="10"/>
      <c r="AV189" s="10"/>
      <c r="AW189" s="10"/>
      <c r="AX189" s="10"/>
      <c r="AY189" s="10"/>
      <c r="AZ189" s="10"/>
      <c r="BA189" s="10"/>
      <c r="BB189" s="10"/>
      <c r="BC189" s="10"/>
      <c r="BD189" s="10"/>
    </row>
    <row r="190" spans="1:56" ht="30" x14ac:dyDescent="0.25">
      <c r="A190" s="4" t="s">
        <v>593</v>
      </c>
      <c r="B190" s="4"/>
      <c r="C190" s="4" t="s">
        <v>22</v>
      </c>
      <c r="D190" s="4" t="s">
        <v>62</v>
      </c>
      <c r="E190" s="5" t="s">
        <v>34</v>
      </c>
      <c r="F190" s="4" t="s">
        <v>619</v>
      </c>
      <c r="G190" s="4" t="s">
        <v>26</v>
      </c>
      <c r="H190" s="4" t="s">
        <v>1040</v>
      </c>
      <c r="I190" s="12"/>
      <c r="J190" s="12"/>
      <c r="K190" s="12"/>
      <c r="L190" s="12"/>
      <c r="M190" s="64"/>
      <c r="N190" s="12"/>
      <c r="O190" s="12"/>
      <c r="P190" s="12"/>
      <c r="Q190" s="12"/>
      <c r="R190" s="12"/>
      <c r="S190" s="12"/>
      <c r="T190" s="12"/>
      <c r="U190" s="12"/>
      <c r="V190" s="12"/>
      <c r="W190" s="7"/>
      <c r="X190" s="12"/>
      <c r="Y190" s="7"/>
      <c r="Z190" s="7"/>
      <c r="AA190" s="7"/>
      <c r="AB190" s="8">
        <f>1/(5*10^-7)</f>
        <v>2000000</v>
      </c>
      <c r="AC190" s="7"/>
      <c r="AD190" s="4"/>
      <c r="AE190" s="4"/>
      <c r="AF190" s="4"/>
      <c r="AG190" s="4"/>
      <c r="AH190" s="9"/>
      <c r="AI190" s="9"/>
      <c r="AJ190" s="9"/>
      <c r="AK190" s="9" t="s">
        <v>30</v>
      </c>
      <c r="AL190" s="10"/>
      <c r="AM190" s="10"/>
      <c r="AN190" s="10"/>
      <c r="AO190" s="10"/>
      <c r="AP190" s="10"/>
      <c r="AQ190" s="11">
        <v>13</v>
      </c>
      <c r="AR190" s="4"/>
      <c r="AS190" s="10"/>
      <c r="AT190" s="10"/>
      <c r="AU190" s="10"/>
      <c r="AV190" s="10"/>
      <c r="AW190" s="10"/>
      <c r="AX190" s="10"/>
      <c r="AY190" s="10"/>
      <c r="AZ190" s="10"/>
      <c r="BA190" s="10"/>
      <c r="BB190" s="10"/>
      <c r="BC190" s="10"/>
      <c r="BD190" s="10"/>
    </row>
    <row r="191" spans="1:56" ht="30" x14ac:dyDescent="0.25">
      <c r="A191" s="4" t="s">
        <v>596</v>
      </c>
      <c r="B191" s="4"/>
      <c r="C191" s="4" t="s">
        <v>22</v>
      </c>
      <c r="D191" s="4" t="s">
        <v>62</v>
      </c>
      <c r="E191" s="5" t="s">
        <v>34</v>
      </c>
      <c r="F191" s="4" t="s">
        <v>619</v>
      </c>
      <c r="G191" s="4" t="s">
        <v>26</v>
      </c>
      <c r="H191" s="4" t="s">
        <v>1041</v>
      </c>
      <c r="I191" s="12"/>
      <c r="J191" s="12"/>
      <c r="K191" s="12"/>
      <c r="L191" s="12"/>
      <c r="M191" s="64"/>
      <c r="N191" s="12"/>
      <c r="O191" s="12"/>
      <c r="P191" s="12"/>
      <c r="Q191" s="12"/>
      <c r="R191" s="12"/>
      <c r="S191" s="12"/>
      <c r="T191" s="12"/>
      <c r="U191" s="12"/>
      <c r="V191" s="12"/>
      <c r="W191" s="7"/>
      <c r="X191" s="12"/>
      <c r="Y191" s="7"/>
      <c r="Z191" s="7"/>
      <c r="AA191" s="7"/>
      <c r="AB191" s="8">
        <f>1/(1*10^-5)</f>
        <v>99999.999999999985</v>
      </c>
      <c r="AC191" s="7"/>
      <c r="AD191" s="4"/>
      <c r="AE191" s="4"/>
      <c r="AF191" s="4"/>
      <c r="AG191" s="4"/>
      <c r="AH191" s="9"/>
      <c r="AI191" s="9"/>
      <c r="AJ191" s="9"/>
      <c r="AK191" s="9" t="s">
        <v>30</v>
      </c>
      <c r="AL191" s="10"/>
      <c r="AM191" s="10"/>
      <c r="AN191" s="10"/>
      <c r="AO191" s="10"/>
      <c r="AP191" s="10"/>
      <c r="AQ191" s="11">
        <v>13</v>
      </c>
      <c r="AR191" s="4"/>
      <c r="AS191" s="10"/>
      <c r="AT191" s="10"/>
      <c r="AU191" s="10"/>
      <c r="AV191" s="10"/>
      <c r="AW191" s="10"/>
      <c r="AX191" s="10"/>
      <c r="AY191" s="10"/>
      <c r="AZ191" s="10"/>
      <c r="BA191" s="10"/>
      <c r="BB191" s="10"/>
      <c r="BC191" s="10"/>
      <c r="BD191" s="10"/>
    </row>
    <row r="192" spans="1:56" ht="30" x14ac:dyDescent="0.25">
      <c r="A192" s="4" t="s">
        <v>620</v>
      </c>
      <c r="B192" s="4"/>
      <c r="C192" s="4" t="s">
        <v>22</v>
      </c>
      <c r="D192" s="4" t="s">
        <v>62</v>
      </c>
      <c r="E192" s="5" t="s">
        <v>34</v>
      </c>
      <c r="F192" s="4" t="s">
        <v>619</v>
      </c>
      <c r="G192" s="4" t="s">
        <v>26</v>
      </c>
      <c r="H192" s="4" t="s">
        <v>1040</v>
      </c>
      <c r="I192" s="12"/>
      <c r="J192" s="12"/>
      <c r="K192" s="12"/>
      <c r="L192" s="12"/>
      <c r="M192" s="64"/>
      <c r="N192" s="12"/>
      <c r="O192" s="12"/>
      <c r="P192" s="12"/>
      <c r="Q192" s="12"/>
      <c r="R192" s="12"/>
      <c r="S192" s="12"/>
      <c r="T192" s="12"/>
      <c r="U192" s="12"/>
      <c r="V192" s="12"/>
      <c r="W192" s="7"/>
      <c r="X192" s="12"/>
      <c r="Y192" s="7"/>
      <c r="Z192" s="7"/>
      <c r="AA192" s="7"/>
      <c r="AB192" s="8">
        <f>1/(1.7*10^-5)</f>
        <v>58823.529411764706</v>
      </c>
      <c r="AC192" s="7"/>
      <c r="AD192" s="4"/>
      <c r="AE192" s="4"/>
      <c r="AF192" s="4"/>
      <c r="AG192" s="4"/>
      <c r="AH192" s="9"/>
      <c r="AI192" s="9"/>
      <c r="AJ192" s="9"/>
      <c r="AK192" s="9" t="s">
        <v>30</v>
      </c>
      <c r="AL192" s="10"/>
      <c r="AM192" s="10"/>
      <c r="AN192" s="10"/>
      <c r="AO192" s="10"/>
      <c r="AP192" s="10"/>
      <c r="AQ192" s="11">
        <v>13</v>
      </c>
      <c r="AR192" s="4"/>
      <c r="AS192" s="10"/>
      <c r="AT192" s="10"/>
      <c r="AU192" s="10"/>
      <c r="AV192" s="10"/>
      <c r="AW192" s="10"/>
      <c r="AX192" s="10"/>
      <c r="AY192" s="10"/>
      <c r="AZ192" s="10"/>
      <c r="BA192" s="10"/>
      <c r="BB192" s="10"/>
      <c r="BC192" s="10"/>
      <c r="BD192" s="10"/>
    </row>
    <row r="193" spans="1:56" ht="30" x14ac:dyDescent="0.25">
      <c r="A193" s="4" t="s">
        <v>614</v>
      </c>
      <c r="B193" s="4"/>
      <c r="C193" s="4" t="s">
        <v>22</v>
      </c>
      <c r="D193" s="4" t="s">
        <v>62</v>
      </c>
      <c r="E193" s="5" t="s">
        <v>34</v>
      </c>
      <c r="F193" s="4" t="s">
        <v>619</v>
      </c>
      <c r="G193" s="4" t="s">
        <v>26</v>
      </c>
      <c r="H193" s="4" t="s">
        <v>1042</v>
      </c>
      <c r="I193" s="12"/>
      <c r="J193" s="12"/>
      <c r="K193" s="12"/>
      <c r="L193" s="12"/>
      <c r="M193" s="64"/>
      <c r="N193" s="12"/>
      <c r="O193" s="12"/>
      <c r="P193" s="12"/>
      <c r="Q193" s="12"/>
      <c r="R193" s="12"/>
      <c r="S193" s="12"/>
      <c r="T193" s="12"/>
      <c r="U193" s="12"/>
      <c r="V193" s="12"/>
      <c r="W193" s="7"/>
      <c r="X193" s="12"/>
      <c r="Y193" s="7"/>
      <c r="Z193" s="7"/>
      <c r="AA193" s="7"/>
      <c r="AB193" s="8">
        <f>1/(4.67*10^-5)</f>
        <v>21413.276231263382</v>
      </c>
      <c r="AC193" s="7"/>
      <c r="AD193" s="4"/>
      <c r="AE193" s="4"/>
      <c r="AF193" s="4"/>
      <c r="AG193" s="4"/>
      <c r="AH193" s="9"/>
      <c r="AI193" s="9"/>
      <c r="AJ193" s="9"/>
      <c r="AK193" s="9" t="s">
        <v>30</v>
      </c>
      <c r="AL193" s="10"/>
      <c r="AM193" s="10"/>
      <c r="AN193" s="10"/>
      <c r="AO193" s="10"/>
      <c r="AP193" s="10"/>
      <c r="AQ193" s="11">
        <v>13</v>
      </c>
      <c r="AR193" s="4"/>
      <c r="AS193" s="10"/>
      <c r="AT193" s="10"/>
      <c r="AU193" s="10"/>
      <c r="AV193" s="10"/>
      <c r="AW193" s="10"/>
      <c r="AX193" s="10"/>
      <c r="AY193" s="10"/>
      <c r="AZ193" s="10"/>
      <c r="BA193" s="10"/>
      <c r="BB193" s="10"/>
      <c r="BC193" s="10"/>
      <c r="BD193" s="10"/>
    </row>
    <row r="194" spans="1:56" ht="30" x14ac:dyDescent="0.25">
      <c r="A194" s="4" t="s">
        <v>581</v>
      </c>
      <c r="B194" s="4"/>
      <c r="C194" s="4" t="s">
        <v>22</v>
      </c>
      <c r="D194" s="4" t="s">
        <v>62</v>
      </c>
      <c r="E194" s="5" t="s">
        <v>34</v>
      </c>
      <c r="F194" s="4" t="s">
        <v>619</v>
      </c>
      <c r="G194" s="4" t="s">
        <v>26</v>
      </c>
      <c r="H194" s="4" t="s">
        <v>1042</v>
      </c>
      <c r="I194" s="12"/>
      <c r="J194" s="12"/>
      <c r="K194" s="12"/>
      <c r="L194" s="12"/>
      <c r="M194" s="64"/>
      <c r="N194" s="12"/>
      <c r="O194" s="12"/>
      <c r="P194" s="12"/>
      <c r="Q194" s="12"/>
      <c r="R194" s="12"/>
      <c r="S194" s="12"/>
      <c r="T194" s="12"/>
      <c r="U194" s="12"/>
      <c r="V194" s="12"/>
      <c r="W194" s="7"/>
      <c r="X194" s="12"/>
      <c r="Y194" s="7"/>
      <c r="Z194" s="7"/>
      <c r="AA194" s="7"/>
      <c r="AB194" s="8">
        <f>1/(1.3*10^-5)</f>
        <v>76923.076923076922</v>
      </c>
      <c r="AC194" s="7"/>
      <c r="AD194" s="4"/>
      <c r="AE194" s="4"/>
      <c r="AF194" s="4"/>
      <c r="AG194" s="4"/>
      <c r="AH194" s="9"/>
      <c r="AI194" s="9"/>
      <c r="AJ194" s="9"/>
      <c r="AK194" s="9" t="s">
        <v>30</v>
      </c>
      <c r="AL194" s="10"/>
      <c r="AM194" s="10"/>
      <c r="AN194" s="10"/>
      <c r="AO194" s="10"/>
      <c r="AP194" s="10"/>
      <c r="AQ194" s="11">
        <v>13</v>
      </c>
      <c r="AR194" s="4"/>
      <c r="AS194" s="10" t="s">
        <v>905</v>
      </c>
      <c r="AT194" s="10"/>
      <c r="AU194" s="10"/>
      <c r="AV194" s="10"/>
      <c r="AW194" s="10"/>
      <c r="AX194" s="10"/>
      <c r="AY194" s="10"/>
      <c r="AZ194" s="10"/>
      <c r="BA194" s="10"/>
      <c r="BB194" s="10"/>
      <c r="BC194" s="10"/>
      <c r="BD194" s="10"/>
    </row>
    <row r="195" spans="1:56" ht="30" x14ac:dyDescent="0.25">
      <c r="A195" s="4" t="s">
        <v>621</v>
      </c>
      <c r="B195" s="4"/>
      <c r="C195" s="4" t="s">
        <v>22</v>
      </c>
      <c r="D195" s="4" t="s">
        <v>62</v>
      </c>
      <c r="E195" s="5" t="s">
        <v>34</v>
      </c>
      <c r="F195" s="4" t="s">
        <v>619</v>
      </c>
      <c r="G195" s="4" t="s">
        <v>26</v>
      </c>
      <c r="H195" s="4" t="s">
        <v>1042</v>
      </c>
      <c r="I195" s="12"/>
      <c r="J195" s="12"/>
      <c r="K195" s="12"/>
      <c r="L195" s="12"/>
      <c r="M195" s="64"/>
      <c r="N195" s="12"/>
      <c r="O195" s="12"/>
      <c r="P195" s="12"/>
      <c r="Q195" s="12"/>
      <c r="R195" s="12"/>
      <c r="S195" s="12"/>
      <c r="T195" s="12"/>
      <c r="U195" s="12"/>
      <c r="V195" s="12"/>
      <c r="W195" s="7"/>
      <c r="X195" s="12"/>
      <c r="Y195" s="7"/>
      <c r="Z195" s="7"/>
      <c r="AA195" s="7"/>
      <c r="AB195" s="8">
        <f>1/(3*10^-6)</f>
        <v>333333.33333333331</v>
      </c>
      <c r="AC195" s="7"/>
      <c r="AD195" s="4"/>
      <c r="AE195" s="4"/>
      <c r="AF195" s="4"/>
      <c r="AG195" s="4"/>
      <c r="AH195" s="9"/>
      <c r="AI195" s="9"/>
      <c r="AJ195" s="9"/>
      <c r="AK195" s="9" t="s">
        <v>30</v>
      </c>
      <c r="AL195" s="10"/>
      <c r="AM195" s="10"/>
      <c r="AN195" s="10"/>
      <c r="AO195" s="10"/>
      <c r="AP195" s="10"/>
      <c r="AQ195" s="11">
        <v>13</v>
      </c>
      <c r="AR195" s="4"/>
      <c r="AS195" s="10"/>
      <c r="AT195" s="10"/>
      <c r="AU195" s="10"/>
      <c r="AV195" s="10"/>
      <c r="AW195" s="10"/>
      <c r="AX195" s="10"/>
      <c r="AY195" s="10"/>
      <c r="AZ195" s="10"/>
      <c r="BA195" s="10"/>
      <c r="BB195" s="10"/>
      <c r="BC195" s="10"/>
      <c r="BD195" s="10"/>
    </row>
    <row r="196" spans="1:56" ht="30" x14ac:dyDescent="0.25">
      <c r="A196" s="4" t="s">
        <v>600</v>
      </c>
      <c r="B196" s="4"/>
      <c r="C196" s="4" t="s">
        <v>22</v>
      </c>
      <c r="D196" s="4" t="s">
        <v>62</v>
      </c>
      <c r="E196" s="5" t="s">
        <v>34</v>
      </c>
      <c r="F196" s="4" t="s">
        <v>619</v>
      </c>
      <c r="G196" s="4" t="s">
        <v>26</v>
      </c>
      <c r="H196" s="4" t="s">
        <v>1042</v>
      </c>
      <c r="I196" s="12"/>
      <c r="J196" s="12"/>
      <c r="K196" s="12"/>
      <c r="L196" s="12"/>
      <c r="M196" s="64"/>
      <c r="N196" s="12"/>
      <c r="O196" s="12"/>
      <c r="P196" s="12"/>
      <c r="Q196" s="12"/>
      <c r="R196" s="12"/>
      <c r="S196" s="12"/>
      <c r="T196" s="12"/>
      <c r="U196" s="12"/>
      <c r="V196" s="12"/>
      <c r="W196" s="7"/>
      <c r="X196" s="12"/>
      <c r="Y196" s="7"/>
      <c r="Z196" s="7"/>
      <c r="AA196" s="7"/>
      <c r="AB196" s="8">
        <f>1/(1*10^-5)</f>
        <v>99999.999999999985</v>
      </c>
      <c r="AC196" s="7"/>
      <c r="AD196" s="4"/>
      <c r="AE196" s="4"/>
      <c r="AF196" s="4"/>
      <c r="AG196" s="4"/>
      <c r="AH196" s="9"/>
      <c r="AI196" s="9"/>
      <c r="AJ196" s="9"/>
      <c r="AK196" s="9" t="s">
        <v>30</v>
      </c>
      <c r="AL196" s="10"/>
      <c r="AM196" s="10"/>
      <c r="AN196" s="10"/>
      <c r="AO196" s="10"/>
      <c r="AP196" s="10"/>
      <c r="AQ196" s="11">
        <v>13</v>
      </c>
      <c r="AR196" s="4"/>
      <c r="AS196" s="10"/>
      <c r="AT196" s="10"/>
      <c r="AU196" s="10"/>
      <c r="AV196" s="10"/>
      <c r="AW196" s="10"/>
      <c r="AX196" s="10"/>
      <c r="AY196" s="10"/>
      <c r="AZ196" s="10"/>
      <c r="BA196" s="10"/>
      <c r="BB196" s="10"/>
      <c r="BC196" s="10"/>
      <c r="BD196" s="10"/>
    </row>
    <row r="197" spans="1:56" ht="30" x14ac:dyDescent="0.25">
      <c r="A197" s="4" t="s">
        <v>583</v>
      </c>
      <c r="B197" s="4"/>
      <c r="C197" s="4" t="s">
        <v>22</v>
      </c>
      <c r="D197" s="4" t="s">
        <v>62</v>
      </c>
      <c r="E197" s="5" t="s">
        <v>34</v>
      </c>
      <c r="F197" s="4" t="s">
        <v>619</v>
      </c>
      <c r="G197" s="4" t="s">
        <v>26</v>
      </c>
      <c r="H197" s="4" t="s">
        <v>1042</v>
      </c>
      <c r="I197" s="12"/>
      <c r="J197" s="12"/>
      <c r="K197" s="12"/>
      <c r="L197" s="12"/>
      <c r="M197" s="64"/>
      <c r="N197" s="12"/>
      <c r="O197" s="12"/>
      <c r="P197" s="12"/>
      <c r="Q197" s="12"/>
      <c r="R197" s="12"/>
      <c r="S197" s="12"/>
      <c r="T197" s="12"/>
      <c r="U197" s="12"/>
      <c r="V197" s="12"/>
      <c r="W197" s="7"/>
      <c r="X197" s="12"/>
      <c r="Y197" s="7"/>
      <c r="Z197" s="7"/>
      <c r="AA197" s="7"/>
      <c r="AB197" s="8">
        <f>1/(5.99*10^-6)</f>
        <v>166944.9081803005</v>
      </c>
      <c r="AC197" s="7"/>
      <c r="AD197" s="4"/>
      <c r="AE197" s="4"/>
      <c r="AF197" s="4"/>
      <c r="AG197" s="4"/>
      <c r="AH197" s="9"/>
      <c r="AI197" s="9"/>
      <c r="AJ197" s="9"/>
      <c r="AK197" s="9" t="s">
        <v>30</v>
      </c>
      <c r="AL197" s="10"/>
      <c r="AM197" s="10"/>
      <c r="AN197" s="10"/>
      <c r="AO197" s="10"/>
      <c r="AP197" s="10"/>
      <c r="AQ197" s="11">
        <v>13</v>
      </c>
      <c r="AR197" s="4"/>
      <c r="AS197" s="10"/>
      <c r="AT197" s="10"/>
      <c r="AU197" s="10"/>
      <c r="AV197" s="10"/>
      <c r="AW197" s="10"/>
      <c r="AX197" s="10"/>
      <c r="AY197" s="10"/>
      <c r="AZ197" s="10"/>
      <c r="BA197" s="10"/>
      <c r="BB197" s="10"/>
      <c r="BC197" s="10"/>
      <c r="BD197" s="10"/>
    </row>
    <row r="198" spans="1:56" ht="30" x14ac:dyDescent="0.25">
      <c r="A198" s="4" t="s">
        <v>603</v>
      </c>
      <c r="B198" s="4"/>
      <c r="C198" s="4" t="s">
        <v>22</v>
      </c>
      <c r="D198" s="4" t="s">
        <v>62</v>
      </c>
      <c r="E198" s="5" t="s">
        <v>34</v>
      </c>
      <c r="F198" s="4" t="s">
        <v>619</v>
      </c>
      <c r="G198" s="4" t="s">
        <v>26</v>
      </c>
      <c r="H198" s="4" t="s">
        <v>1043</v>
      </c>
      <c r="I198" s="12"/>
      <c r="J198" s="12"/>
      <c r="K198" s="12"/>
      <c r="L198" s="12"/>
      <c r="M198" s="64"/>
      <c r="N198" s="12"/>
      <c r="O198" s="12"/>
      <c r="P198" s="12"/>
      <c r="Q198" s="12"/>
      <c r="R198" s="12"/>
      <c r="S198" s="12"/>
      <c r="T198" s="12"/>
      <c r="U198" s="12"/>
      <c r="V198" s="12"/>
      <c r="W198" s="7"/>
      <c r="X198" s="12"/>
      <c r="Y198" s="7"/>
      <c r="Z198" s="7"/>
      <c r="AA198" s="7"/>
      <c r="AB198" s="8">
        <f>1/(1*10^-5)</f>
        <v>99999.999999999985</v>
      </c>
      <c r="AC198" s="7"/>
      <c r="AD198" s="4"/>
      <c r="AE198" s="4"/>
      <c r="AF198" s="4"/>
      <c r="AG198" s="4"/>
      <c r="AH198" s="9"/>
      <c r="AI198" s="9"/>
      <c r="AJ198" s="9"/>
      <c r="AK198" s="9" t="s">
        <v>30</v>
      </c>
      <c r="AL198" s="10"/>
      <c r="AM198" s="10"/>
      <c r="AN198" s="10"/>
      <c r="AO198" s="10"/>
      <c r="AP198" s="10"/>
      <c r="AQ198" s="11">
        <v>13</v>
      </c>
      <c r="AR198" s="4"/>
      <c r="AS198" s="10"/>
      <c r="AT198" s="10"/>
      <c r="AU198" s="10"/>
      <c r="AV198" s="10"/>
      <c r="AW198" s="10"/>
      <c r="AX198" s="10"/>
      <c r="AY198" s="10"/>
      <c r="AZ198" s="10"/>
      <c r="BA198" s="10"/>
      <c r="BB198" s="10"/>
      <c r="BC198" s="10"/>
      <c r="BD198" s="10"/>
    </row>
    <row r="199" spans="1:56" ht="30" x14ac:dyDescent="0.25">
      <c r="A199" s="4" t="s">
        <v>586</v>
      </c>
      <c r="B199" s="4"/>
      <c r="C199" s="4" t="s">
        <v>22</v>
      </c>
      <c r="D199" s="4" t="s">
        <v>62</v>
      </c>
      <c r="E199" s="5" t="s">
        <v>34</v>
      </c>
      <c r="F199" s="4" t="s">
        <v>619</v>
      </c>
      <c r="G199" s="4" t="s">
        <v>26</v>
      </c>
      <c r="H199" s="4" t="s">
        <v>1044</v>
      </c>
      <c r="I199" s="12"/>
      <c r="J199" s="12"/>
      <c r="K199" s="12"/>
      <c r="L199" s="12"/>
      <c r="M199" s="64"/>
      <c r="N199" s="12"/>
      <c r="O199" s="12"/>
      <c r="P199" s="12"/>
      <c r="Q199" s="12"/>
      <c r="R199" s="12"/>
      <c r="S199" s="12"/>
      <c r="T199" s="12"/>
      <c r="U199" s="12"/>
      <c r="V199" s="12"/>
      <c r="W199" s="7"/>
      <c r="X199" s="12"/>
      <c r="Y199" s="7"/>
      <c r="Z199" s="7"/>
      <c r="AA199" s="7"/>
      <c r="AB199" s="8">
        <f>1/(1*10^-5)</f>
        <v>99999.999999999985</v>
      </c>
      <c r="AC199" s="7"/>
      <c r="AD199" s="4"/>
      <c r="AE199" s="4"/>
      <c r="AF199" s="4"/>
      <c r="AG199" s="4"/>
      <c r="AH199" s="9"/>
      <c r="AI199" s="9"/>
      <c r="AJ199" s="9"/>
      <c r="AK199" s="9" t="s">
        <v>30</v>
      </c>
      <c r="AL199" s="10"/>
      <c r="AM199" s="10"/>
      <c r="AN199" s="10"/>
      <c r="AO199" s="10"/>
      <c r="AP199" s="10"/>
      <c r="AQ199" s="11">
        <v>13</v>
      </c>
      <c r="AR199" s="4"/>
      <c r="AS199" s="10"/>
      <c r="AT199" s="10"/>
      <c r="AU199" s="10"/>
      <c r="AV199" s="10"/>
      <c r="AW199" s="10"/>
      <c r="AX199" s="10"/>
      <c r="AY199" s="10"/>
      <c r="AZ199" s="10"/>
      <c r="BA199" s="10"/>
      <c r="BB199" s="10"/>
      <c r="BC199" s="10"/>
      <c r="BD199" s="10"/>
    </row>
    <row r="200" spans="1:56" ht="30" x14ac:dyDescent="0.25">
      <c r="A200" s="4" t="s">
        <v>587</v>
      </c>
      <c r="B200" s="4"/>
      <c r="C200" s="4" t="s">
        <v>22</v>
      </c>
      <c r="D200" s="4" t="s">
        <v>62</v>
      </c>
      <c r="E200" s="5" t="s">
        <v>34</v>
      </c>
      <c r="F200" s="4" t="s">
        <v>619</v>
      </c>
      <c r="G200" s="4" t="s">
        <v>26</v>
      </c>
      <c r="H200" s="4" t="s">
        <v>1042</v>
      </c>
      <c r="I200" s="12"/>
      <c r="J200" s="12"/>
      <c r="K200" s="12"/>
      <c r="L200" s="12"/>
      <c r="M200" s="64"/>
      <c r="N200" s="12"/>
      <c r="O200" s="12"/>
      <c r="P200" s="12"/>
      <c r="Q200" s="12"/>
      <c r="R200" s="12"/>
      <c r="S200" s="12"/>
      <c r="T200" s="12"/>
      <c r="U200" s="12"/>
      <c r="V200" s="12"/>
      <c r="W200" s="7"/>
      <c r="X200" s="12"/>
      <c r="Y200" s="7"/>
      <c r="Z200" s="7"/>
      <c r="AA200" s="7"/>
      <c r="AB200" s="8">
        <f>1/(1.5*10^-5)</f>
        <v>66666.666666666657</v>
      </c>
      <c r="AC200" s="7"/>
      <c r="AD200" s="4"/>
      <c r="AE200" s="4"/>
      <c r="AF200" s="4"/>
      <c r="AG200" s="4"/>
      <c r="AH200" s="9"/>
      <c r="AI200" s="9"/>
      <c r="AJ200" s="9"/>
      <c r="AK200" s="9" t="s">
        <v>30</v>
      </c>
      <c r="AL200" s="10"/>
      <c r="AM200" s="10"/>
      <c r="AN200" s="10"/>
      <c r="AO200" s="10"/>
      <c r="AP200" s="10"/>
      <c r="AQ200" s="11">
        <v>13</v>
      </c>
      <c r="AR200" s="4"/>
      <c r="AS200" s="10"/>
      <c r="AT200" s="10"/>
      <c r="AU200" s="10"/>
      <c r="AV200" s="10"/>
      <c r="AW200" s="10"/>
      <c r="AX200" s="10"/>
      <c r="AY200" s="10"/>
      <c r="AZ200" s="10"/>
      <c r="BA200" s="10"/>
      <c r="BB200" s="10"/>
      <c r="BC200" s="10"/>
      <c r="BD200" s="10"/>
    </row>
    <row r="201" spans="1:56" ht="30" x14ac:dyDescent="0.25">
      <c r="A201" s="4" t="s">
        <v>588</v>
      </c>
      <c r="B201" s="4"/>
      <c r="C201" s="4" t="s">
        <v>22</v>
      </c>
      <c r="D201" s="4" t="s">
        <v>62</v>
      </c>
      <c r="E201" s="5" t="s">
        <v>34</v>
      </c>
      <c r="F201" s="4" t="s">
        <v>619</v>
      </c>
      <c r="G201" s="4" t="s">
        <v>26</v>
      </c>
      <c r="H201" s="4" t="s">
        <v>1045</v>
      </c>
      <c r="I201" s="12"/>
      <c r="J201" s="12"/>
      <c r="K201" s="12"/>
      <c r="L201" s="12"/>
      <c r="M201" s="64"/>
      <c r="N201" s="12"/>
      <c r="O201" s="12"/>
      <c r="P201" s="12"/>
      <c r="Q201" s="12"/>
      <c r="R201" s="12"/>
      <c r="S201" s="12"/>
      <c r="T201" s="12"/>
      <c r="U201" s="12"/>
      <c r="V201" s="12"/>
      <c r="W201" s="7"/>
      <c r="X201" s="12"/>
      <c r="Y201" s="7"/>
      <c r="Z201" s="7"/>
      <c r="AA201" s="7"/>
      <c r="AB201" s="8">
        <f>1/(1*10^-5)</f>
        <v>99999.999999999985</v>
      </c>
      <c r="AC201" s="7"/>
      <c r="AD201" s="4"/>
      <c r="AE201" s="4"/>
      <c r="AF201" s="4"/>
      <c r="AG201" s="4"/>
      <c r="AH201" s="9"/>
      <c r="AI201" s="9"/>
      <c r="AJ201" s="9"/>
      <c r="AK201" s="9" t="s">
        <v>30</v>
      </c>
      <c r="AL201" s="10"/>
      <c r="AM201" s="10"/>
      <c r="AN201" s="10"/>
      <c r="AO201" s="10"/>
      <c r="AP201" s="10"/>
      <c r="AQ201" s="11">
        <v>13</v>
      </c>
      <c r="AR201" s="4"/>
      <c r="AS201" s="10"/>
      <c r="AT201" s="10"/>
      <c r="AU201" s="10"/>
      <c r="AV201" s="10"/>
      <c r="AW201" s="10"/>
      <c r="AX201" s="10"/>
      <c r="AY201" s="10"/>
      <c r="AZ201" s="10"/>
      <c r="BA201" s="10"/>
      <c r="BB201" s="10"/>
      <c r="BC201" s="10"/>
      <c r="BD201" s="10"/>
    </row>
    <row r="202" spans="1:56" ht="30" x14ac:dyDescent="0.25">
      <c r="A202" s="4" t="s">
        <v>590</v>
      </c>
      <c r="B202" s="4"/>
      <c r="C202" s="4" t="s">
        <v>22</v>
      </c>
      <c r="D202" s="4" t="s">
        <v>62</v>
      </c>
      <c r="E202" s="5" t="s">
        <v>34</v>
      </c>
      <c r="F202" s="4" t="s">
        <v>619</v>
      </c>
      <c r="G202" s="4" t="s">
        <v>26</v>
      </c>
      <c r="H202" s="4" t="s">
        <v>1041</v>
      </c>
      <c r="I202" s="12"/>
      <c r="J202" s="12"/>
      <c r="K202" s="12"/>
      <c r="L202" s="12"/>
      <c r="M202" s="64"/>
      <c r="N202" s="12"/>
      <c r="O202" s="12"/>
      <c r="P202" s="12"/>
      <c r="Q202" s="12"/>
      <c r="R202" s="12"/>
      <c r="S202" s="12"/>
      <c r="T202" s="12"/>
      <c r="U202" s="12"/>
      <c r="V202" s="12"/>
      <c r="W202" s="7"/>
      <c r="X202" s="12"/>
      <c r="Y202" s="7"/>
      <c r="Z202" s="7"/>
      <c r="AA202" s="7"/>
      <c r="AB202" s="8">
        <f>1/(1*10^-5)</f>
        <v>99999.999999999985</v>
      </c>
      <c r="AC202" s="7"/>
      <c r="AD202" s="4"/>
      <c r="AE202" s="4"/>
      <c r="AF202" s="4"/>
      <c r="AG202" s="4"/>
      <c r="AH202" s="9"/>
      <c r="AI202" s="9"/>
      <c r="AJ202" s="9"/>
      <c r="AK202" s="9" t="s">
        <v>30</v>
      </c>
      <c r="AL202" s="10"/>
      <c r="AM202" s="10"/>
      <c r="AN202" s="10"/>
      <c r="AO202" s="10"/>
      <c r="AP202" s="10"/>
      <c r="AQ202" s="11">
        <v>13</v>
      </c>
      <c r="AR202" s="4"/>
      <c r="AS202" s="10"/>
      <c r="AT202" s="10"/>
      <c r="AU202" s="10"/>
      <c r="AV202" s="10"/>
      <c r="AW202" s="10"/>
      <c r="AX202" s="10"/>
      <c r="AY202" s="10"/>
      <c r="AZ202" s="10"/>
      <c r="BA202" s="10"/>
      <c r="BB202" s="10"/>
      <c r="BC202" s="10"/>
      <c r="BD202" s="10"/>
    </row>
    <row r="203" spans="1:56" ht="30" x14ac:dyDescent="0.25">
      <c r="A203" s="4" t="s">
        <v>592</v>
      </c>
      <c r="B203" s="4"/>
      <c r="C203" s="4" t="s">
        <v>22</v>
      </c>
      <c r="D203" s="4" t="s">
        <v>62</v>
      </c>
      <c r="E203" s="5" t="s">
        <v>34</v>
      </c>
      <c r="F203" s="4" t="s">
        <v>619</v>
      </c>
      <c r="G203" s="4" t="s">
        <v>26</v>
      </c>
      <c r="H203" s="4" t="s">
        <v>1040</v>
      </c>
      <c r="I203" s="12"/>
      <c r="J203" s="12"/>
      <c r="K203" s="12"/>
      <c r="L203" s="12"/>
      <c r="M203" s="64"/>
      <c r="N203" s="12"/>
      <c r="O203" s="12"/>
      <c r="P203" s="12"/>
      <c r="Q203" s="12"/>
      <c r="R203" s="12"/>
      <c r="S203" s="12"/>
      <c r="T203" s="12"/>
      <c r="U203" s="12"/>
      <c r="V203" s="12"/>
      <c r="W203" s="7"/>
      <c r="X203" s="12"/>
      <c r="Y203" s="7"/>
      <c r="Z203" s="7"/>
      <c r="AA203" s="7"/>
      <c r="AB203" s="8">
        <f>1/(1*10^-5)</f>
        <v>99999.999999999985</v>
      </c>
      <c r="AC203" s="7"/>
      <c r="AD203" s="4"/>
      <c r="AE203" s="4"/>
      <c r="AF203" s="4"/>
      <c r="AG203" s="4"/>
      <c r="AH203" s="9"/>
      <c r="AI203" s="9"/>
      <c r="AJ203" s="9"/>
      <c r="AK203" s="9" t="s">
        <v>30</v>
      </c>
      <c r="AL203" s="10"/>
      <c r="AM203" s="10"/>
      <c r="AN203" s="10"/>
      <c r="AO203" s="10"/>
      <c r="AP203" s="10"/>
      <c r="AQ203" s="11">
        <v>13</v>
      </c>
      <c r="AR203" s="4"/>
      <c r="AS203" s="10"/>
      <c r="AT203" s="10"/>
      <c r="AU203" s="10"/>
      <c r="AV203" s="10"/>
      <c r="AW203" s="10"/>
      <c r="AX203" s="10"/>
      <c r="AY203" s="10"/>
      <c r="AZ203" s="10"/>
      <c r="BA203" s="10"/>
      <c r="BB203" s="10"/>
      <c r="BC203" s="10"/>
      <c r="BD203" s="10"/>
    </row>
    <row r="204" spans="1:56" ht="30" x14ac:dyDescent="0.25">
      <c r="A204" s="4" t="s">
        <v>591</v>
      </c>
      <c r="B204" s="4"/>
      <c r="C204" s="4" t="s">
        <v>22</v>
      </c>
      <c r="D204" s="4" t="s">
        <v>62</v>
      </c>
      <c r="E204" s="5" t="s">
        <v>34</v>
      </c>
      <c r="F204" s="4" t="s">
        <v>619</v>
      </c>
      <c r="G204" s="4" t="s">
        <v>26</v>
      </c>
      <c r="H204" s="4" t="s">
        <v>1046</v>
      </c>
      <c r="I204" s="12"/>
      <c r="J204" s="12"/>
      <c r="K204" s="12"/>
      <c r="L204" s="12"/>
      <c r="M204" s="64"/>
      <c r="N204" s="12"/>
      <c r="O204" s="12"/>
      <c r="P204" s="12"/>
      <c r="Q204" s="12"/>
      <c r="R204" s="12"/>
      <c r="S204" s="12"/>
      <c r="T204" s="12"/>
      <c r="U204" s="12"/>
      <c r="V204" s="12"/>
      <c r="W204" s="7"/>
      <c r="X204" s="12"/>
      <c r="Y204" s="7"/>
      <c r="Z204" s="7"/>
      <c r="AA204" s="7"/>
      <c r="AB204" s="8">
        <f>1/(6*10^-6)</f>
        <v>166666.66666666666</v>
      </c>
      <c r="AC204" s="7"/>
      <c r="AD204" s="4"/>
      <c r="AE204" s="4"/>
      <c r="AF204" s="4"/>
      <c r="AG204" s="4"/>
      <c r="AH204" s="9"/>
      <c r="AI204" s="9"/>
      <c r="AJ204" s="9"/>
      <c r="AK204" s="9" t="s">
        <v>30</v>
      </c>
      <c r="AL204" s="10"/>
      <c r="AM204" s="10"/>
      <c r="AN204" s="10"/>
      <c r="AO204" s="10"/>
      <c r="AP204" s="10"/>
      <c r="AQ204" s="11">
        <v>13</v>
      </c>
      <c r="AR204" s="4"/>
      <c r="AS204" s="10"/>
      <c r="AT204" s="10"/>
      <c r="AU204" s="10"/>
      <c r="AV204" s="10"/>
      <c r="AW204" s="10"/>
      <c r="AX204" s="10"/>
      <c r="AY204" s="10"/>
      <c r="AZ204" s="10"/>
      <c r="BA204" s="10"/>
      <c r="BB204" s="10"/>
      <c r="BC204" s="10"/>
      <c r="BD204" s="10"/>
    </row>
    <row r="205" spans="1:56" ht="30" x14ac:dyDescent="0.25">
      <c r="A205" s="4" t="s">
        <v>617</v>
      </c>
      <c r="B205" s="4"/>
      <c r="C205" s="4" t="s">
        <v>22</v>
      </c>
      <c r="D205" s="4" t="s">
        <v>62</v>
      </c>
      <c r="E205" s="5" t="s">
        <v>34</v>
      </c>
      <c r="F205" s="4" t="s">
        <v>619</v>
      </c>
      <c r="G205" s="4" t="s">
        <v>26</v>
      </c>
      <c r="H205" s="4" t="s">
        <v>1042</v>
      </c>
      <c r="I205" s="12"/>
      <c r="J205" s="12"/>
      <c r="K205" s="12"/>
      <c r="L205" s="12"/>
      <c r="M205" s="64"/>
      <c r="N205" s="12"/>
      <c r="O205" s="12"/>
      <c r="P205" s="12"/>
      <c r="Q205" s="12"/>
      <c r="R205" s="12"/>
      <c r="S205" s="12"/>
      <c r="T205" s="12"/>
      <c r="U205" s="12"/>
      <c r="V205" s="12"/>
      <c r="W205" s="7"/>
      <c r="X205" s="12"/>
      <c r="Y205" s="7"/>
      <c r="Z205" s="7"/>
      <c r="AA205" s="7"/>
      <c r="AB205" s="8">
        <f>1/(1*10^-5)</f>
        <v>99999.999999999985</v>
      </c>
      <c r="AC205" s="7"/>
      <c r="AD205" s="4"/>
      <c r="AE205" s="4"/>
      <c r="AF205" s="4"/>
      <c r="AG205" s="4"/>
      <c r="AH205" s="9"/>
      <c r="AI205" s="9"/>
      <c r="AJ205" s="9"/>
      <c r="AK205" s="9" t="s">
        <v>30</v>
      </c>
      <c r="AL205" s="10"/>
      <c r="AM205" s="10"/>
      <c r="AN205" s="10"/>
      <c r="AO205" s="10"/>
      <c r="AP205" s="10"/>
      <c r="AQ205" s="11">
        <v>13</v>
      </c>
      <c r="AR205" s="4"/>
      <c r="AS205" s="10"/>
      <c r="AT205" s="10"/>
      <c r="AU205" s="10"/>
      <c r="AV205" s="10"/>
      <c r="AW205" s="10"/>
      <c r="AX205" s="10"/>
      <c r="AY205" s="10"/>
      <c r="AZ205" s="10"/>
      <c r="BA205" s="10"/>
      <c r="BB205" s="10"/>
      <c r="BC205" s="10"/>
      <c r="BD205" s="10"/>
    </row>
    <row r="206" spans="1:56" ht="30" x14ac:dyDescent="0.25">
      <c r="A206" s="4" t="s">
        <v>618</v>
      </c>
      <c r="B206" s="4"/>
      <c r="C206" s="4" t="s">
        <v>22</v>
      </c>
      <c r="D206" s="4" t="s">
        <v>62</v>
      </c>
      <c r="E206" s="5" t="s">
        <v>34</v>
      </c>
      <c r="F206" s="4" t="s">
        <v>619</v>
      </c>
      <c r="G206" s="4" t="s">
        <v>26</v>
      </c>
      <c r="H206" s="4" t="s">
        <v>1046</v>
      </c>
      <c r="I206" s="12"/>
      <c r="J206" s="12"/>
      <c r="K206" s="12"/>
      <c r="L206" s="12"/>
      <c r="M206" s="64"/>
      <c r="N206" s="12"/>
      <c r="O206" s="12"/>
      <c r="P206" s="12"/>
      <c r="Q206" s="12"/>
      <c r="R206" s="12"/>
      <c r="S206" s="12"/>
      <c r="T206" s="12"/>
      <c r="U206" s="12"/>
      <c r="V206" s="12"/>
      <c r="W206" s="7"/>
      <c r="X206" s="12"/>
      <c r="Y206" s="7"/>
      <c r="Z206" s="7"/>
      <c r="AA206" s="7"/>
      <c r="AB206" s="8">
        <f>1/(1*10^-5)</f>
        <v>99999.999999999985</v>
      </c>
      <c r="AC206" s="7"/>
      <c r="AD206" s="4"/>
      <c r="AE206" s="4"/>
      <c r="AF206" s="4"/>
      <c r="AG206" s="4"/>
      <c r="AH206" s="9"/>
      <c r="AI206" s="9"/>
      <c r="AJ206" s="9"/>
      <c r="AK206" s="9" t="s">
        <v>30</v>
      </c>
      <c r="AL206" s="10"/>
      <c r="AM206" s="10"/>
      <c r="AN206" s="10"/>
      <c r="AO206" s="10"/>
      <c r="AP206" s="10"/>
      <c r="AQ206" s="11">
        <v>13</v>
      </c>
      <c r="AR206" s="4"/>
      <c r="AS206" s="10"/>
      <c r="AT206" s="10"/>
      <c r="AU206" s="10"/>
      <c r="AV206" s="10"/>
      <c r="AW206" s="10"/>
      <c r="AX206" s="10"/>
      <c r="AY206" s="10"/>
      <c r="AZ206" s="10"/>
      <c r="BA206" s="10"/>
      <c r="BB206" s="10"/>
      <c r="BC206" s="10"/>
      <c r="BD206" s="10"/>
    </row>
    <row r="207" spans="1:56" ht="30" x14ac:dyDescent="0.25">
      <c r="A207" s="4" t="s">
        <v>593</v>
      </c>
      <c r="B207" s="4"/>
      <c r="C207" s="4" t="s">
        <v>22</v>
      </c>
      <c r="D207" s="4" t="s">
        <v>116</v>
      </c>
      <c r="E207" s="5" t="s">
        <v>34</v>
      </c>
      <c r="F207" s="4" t="s">
        <v>622</v>
      </c>
      <c r="G207" s="4" t="s">
        <v>26</v>
      </c>
      <c r="H207" s="4" t="s">
        <v>1055</v>
      </c>
      <c r="I207" s="12"/>
      <c r="J207" s="12"/>
      <c r="K207" s="12"/>
      <c r="L207" s="12"/>
      <c r="M207" s="64"/>
      <c r="N207" s="12"/>
      <c r="O207" s="12"/>
      <c r="P207" s="12"/>
      <c r="Q207" s="12"/>
      <c r="R207" s="12"/>
      <c r="S207" s="12"/>
      <c r="T207" s="12"/>
      <c r="U207" s="12"/>
      <c r="V207" s="12"/>
      <c r="W207" s="7"/>
      <c r="X207" s="12"/>
      <c r="Y207" s="7"/>
      <c r="Z207" s="7"/>
      <c r="AA207" s="7"/>
      <c r="AB207" s="8">
        <f>1/(5*10^-7)</f>
        <v>2000000</v>
      </c>
      <c r="AC207" s="8"/>
      <c r="AD207" s="4"/>
      <c r="AE207" s="4"/>
      <c r="AF207" s="4"/>
      <c r="AG207" s="4"/>
      <c r="AH207" s="9"/>
      <c r="AI207" s="9"/>
      <c r="AJ207" s="9"/>
      <c r="AK207" s="9" t="s">
        <v>30</v>
      </c>
      <c r="AL207" s="10"/>
      <c r="AM207" s="10"/>
      <c r="AN207" s="10"/>
      <c r="AO207" s="10"/>
      <c r="AP207" s="10"/>
      <c r="AQ207" s="11">
        <v>13</v>
      </c>
      <c r="AR207" s="4"/>
      <c r="AS207" s="10"/>
      <c r="AT207" s="10"/>
      <c r="AU207" s="10"/>
      <c r="AV207" s="10"/>
      <c r="AW207" s="10"/>
      <c r="AX207" s="10"/>
      <c r="AY207" s="10"/>
      <c r="AZ207" s="10"/>
      <c r="BA207" s="10"/>
      <c r="BB207" s="10"/>
      <c r="BC207" s="10"/>
      <c r="BD207" s="10"/>
    </row>
    <row r="208" spans="1:56" ht="30" x14ac:dyDescent="0.25">
      <c r="A208" s="4" t="s">
        <v>623</v>
      </c>
      <c r="B208" s="4"/>
      <c r="C208" s="4" t="s">
        <v>22</v>
      </c>
      <c r="D208" s="4" t="s">
        <v>116</v>
      </c>
      <c r="E208" s="5" t="s">
        <v>34</v>
      </c>
      <c r="F208" s="4" t="s">
        <v>622</v>
      </c>
      <c r="G208" s="4" t="s">
        <v>26</v>
      </c>
      <c r="H208" s="4" t="s">
        <v>1048</v>
      </c>
      <c r="I208" s="12"/>
      <c r="J208" s="12"/>
      <c r="K208" s="12"/>
      <c r="L208" s="12"/>
      <c r="M208" s="64"/>
      <c r="N208" s="12"/>
      <c r="O208" s="12"/>
      <c r="P208" s="12"/>
      <c r="Q208" s="12"/>
      <c r="R208" s="12"/>
      <c r="S208" s="12"/>
      <c r="T208" s="12"/>
      <c r="U208" s="12"/>
      <c r="V208" s="12"/>
      <c r="W208" s="7"/>
      <c r="X208" s="12"/>
      <c r="Y208" s="7"/>
      <c r="Z208" s="7"/>
      <c r="AA208" s="7"/>
      <c r="AB208" s="8">
        <f>1/(2*10^-5)</f>
        <v>49999.999999999993</v>
      </c>
      <c r="AC208" s="8"/>
      <c r="AD208" s="4"/>
      <c r="AE208" s="4"/>
      <c r="AF208" s="4"/>
      <c r="AG208" s="4"/>
      <c r="AH208" s="9"/>
      <c r="AI208" s="9"/>
      <c r="AJ208" s="9"/>
      <c r="AK208" s="9" t="s">
        <v>30</v>
      </c>
      <c r="AL208" s="10"/>
      <c r="AM208" s="10"/>
      <c r="AN208" s="10"/>
      <c r="AO208" s="10"/>
      <c r="AP208" s="10"/>
      <c r="AQ208" s="11">
        <v>13</v>
      </c>
      <c r="AR208" s="4"/>
      <c r="AS208" s="10"/>
      <c r="AT208" s="10"/>
      <c r="AU208" s="10"/>
      <c r="AV208" s="10"/>
      <c r="AW208" s="10"/>
      <c r="AX208" s="10"/>
      <c r="AY208" s="10"/>
      <c r="AZ208" s="10"/>
      <c r="BA208" s="10"/>
      <c r="BB208" s="10"/>
      <c r="BC208" s="10"/>
      <c r="BD208" s="10"/>
    </row>
    <row r="209" spans="1:56" ht="30" x14ac:dyDescent="0.25">
      <c r="A209" s="4" t="s">
        <v>596</v>
      </c>
      <c r="B209" s="4"/>
      <c r="C209" s="4" t="s">
        <v>22</v>
      </c>
      <c r="D209" s="4" t="s">
        <v>116</v>
      </c>
      <c r="E209" s="5" t="s">
        <v>34</v>
      </c>
      <c r="F209" s="4" t="s">
        <v>622</v>
      </c>
      <c r="G209" s="4" t="s">
        <v>26</v>
      </c>
      <c r="H209" s="4" t="s">
        <v>1055</v>
      </c>
      <c r="I209" s="12">
        <v>0.2</v>
      </c>
      <c r="J209" s="12">
        <v>0.2</v>
      </c>
      <c r="K209" s="12"/>
      <c r="L209" s="12"/>
      <c r="M209" s="64"/>
      <c r="N209" s="12"/>
      <c r="O209" s="12"/>
      <c r="P209" s="12"/>
      <c r="Q209" s="12"/>
      <c r="R209" s="12"/>
      <c r="S209" s="12"/>
      <c r="T209" s="12"/>
      <c r="U209" s="12"/>
      <c r="V209" s="12"/>
      <c r="W209" s="7"/>
      <c r="X209" s="12"/>
      <c r="Y209" s="7"/>
      <c r="Z209" s="7"/>
      <c r="AA209" s="7"/>
      <c r="AB209" s="8">
        <f>1/(1*10^-5)</f>
        <v>99999.999999999985</v>
      </c>
      <c r="AC209" s="8"/>
      <c r="AD209" s="4"/>
      <c r="AE209" s="4"/>
      <c r="AF209" s="4"/>
      <c r="AG209" s="4"/>
      <c r="AH209" s="9"/>
      <c r="AI209" s="9"/>
      <c r="AJ209" s="9"/>
      <c r="AK209" s="9" t="s">
        <v>30</v>
      </c>
      <c r="AL209" s="10"/>
      <c r="AM209" s="10"/>
      <c r="AN209" s="10"/>
      <c r="AO209" s="10"/>
      <c r="AP209" s="10"/>
      <c r="AQ209" s="11">
        <v>13</v>
      </c>
      <c r="AR209" s="4"/>
      <c r="AS209" s="10"/>
      <c r="AT209" s="10"/>
      <c r="AU209" s="10"/>
      <c r="AV209" s="10"/>
      <c r="AW209" s="10"/>
      <c r="AX209" s="10"/>
      <c r="AY209" s="10"/>
      <c r="AZ209" s="10"/>
      <c r="BA209" s="10"/>
      <c r="BB209" s="10"/>
      <c r="BC209" s="10"/>
      <c r="BD209" s="10"/>
    </row>
    <row r="210" spans="1:56" ht="30" x14ac:dyDescent="0.25">
      <c r="A210" s="4" t="s">
        <v>624</v>
      </c>
      <c r="B210" s="4"/>
      <c r="C210" s="4" t="s">
        <v>22</v>
      </c>
      <c r="D210" s="4" t="s">
        <v>116</v>
      </c>
      <c r="E210" s="5" t="s">
        <v>34</v>
      </c>
      <c r="F210" s="4" t="s">
        <v>622</v>
      </c>
      <c r="G210" s="4" t="s">
        <v>26</v>
      </c>
      <c r="H210" s="4" t="s">
        <v>1055</v>
      </c>
      <c r="I210" s="12">
        <v>27</v>
      </c>
      <c r="J210" s="12">
        <v>27</v>
      </c>
      <c r="K210" s="12"/>
      <c r="L210" s="12"/>
      <c r="M210" s="64"/>
      <c r="N210" s="12"/>
      <c r="O210" s="12"/>
      <c r="P210" s="12"/>
      <c r="Q210" s="12"/>
      <c r="R210" s="12"/>
      <c r="S210" s="12"/>
      <c r="T210" s="12"/>
      <c r="U210" s="12"/>
      <c r="V210" s="12"/>
      <c r="W210" s="7"/>
      <c r="X210" s="12"/>
      <c r="Y210" s="7"/>
      <c r="Z210" s="7"/>
      <c r="AA210" s="7"/>
      <c r="AB210" s="8">
        <f>1/(1.5*10^-5)</f>
        <v>66666.666666666657</v>
      </c>
      <c r="AC210" s="8"/>
      <c r="AD210" s="4"/>
      <c r="AE210" s="4"/>
      <c r="AF210" s="4"/>
      <c r="AG210" s="4"/>
      <c r="AH210" s="9"/>
      <c r="AI210" s="9"/>
      <c r="AJ210" s="9"/>
      <c r="AK210" s="9" t="s">
        <v>30</v>
      </c>
      <c r="AL210" s="10"/>
      <c r="AM210" s="10"/>
      <c r="AN210" s="10"/>
      <c r="AO210" s="10"/>
      <c r="AP210" s="10"/>
      <c r="AQ210" s="11">
        <v>13</v>
      </c>
      <c r="AR210" s="4"/>
      <c r="AS210" s="10"/>
      <c r="AT210" s="10"/>
      <c r="AU210" s="10"/>
      <c r="AV210" s="10"/>
      <c r="AW210" s="10"/>
      <c r="AX210" s="10"/>
      <c r="AY210" s="10"/>
      <c r="AZ210" s="10"/>
      <c r="BA210" s="10"/>
      <c r="BB210" s="10"/>
      <c r="BC210" s="10"/>
      <c r="BD210" s="10"/>
    </row>
    <row r="211" spans="1:56" ht="30" x14ac:dyDescent="0.25">
      <c r="A211" s="4" t="s">
        <v>625</v>
      </c>
      <c r="B211" s="4"/>
      <c r="C211" s="4" t="s">
        <v>22</v>
      </c>
      <c r="D211" s="4" t="s">
        <v>116</v>
      </c>
      <c r="E211" s="5" t="s">
        <v>34</v>
      </c>
      <c r="F211" s="4" t="s">
        <v>622</v>
      </c>
      <c r="G211" s="4" t="s">
        <v>26</v>
      </c>
      <c r="H211" s="4" t="s">
        <v>1055</v>
      </c>
      <c r="I211" s="12">
        <v>11.99</v>
      </c>
      <c r="J211" s="12">
        <v>11.99</v>
      </c>
      <c r="K211" s="12"/>
      <c r="L211" s="12"/>
      <c r="M211" s="64"/>
      <c r="N211" s="12"/>
      <c r="O211" s="12"/>
      <c r="P211" s="12"/>
      <c r="Q211" s="12"/>
      <c r="R211" s="12"/>
      <c r="S211" s="12"/>
      <c r="T211" s="12"/>
      <c r="U211" s="12"/>
      <c r="V211" s="12"/>
      <c r="W211" s="7"/>
      <c r="X211" s="12"/>
      <c r="Y211" s="7"/>
      <c r="Z211" s="7"/>
      <c r="AA211" s="7"/>
      <c r="AB211" s="8">
        <f>1/(1.7*10^-5)</f>
        <v>58823.529411764706</v>
      </c>
      <c r="AC211" s="8"/>
      <c r="AD211" s="4"/>
      <c r="AE211" s="4"/>
      <c r="AF211" s="4"/>
      <c r="AG211" s="4"/>
      <c r="AH211" s="9"/>
      <c r="AI211" s="9"/>
      <c r="AJ211" s="9"/>
      <c r="AK211" s="9" t="s">
        <v>30</v>
      </c>
      <c r="AL211" s="10"/>
      <c r="AM211" s="10"/>
      <c r="AN211" s="10"/>
      <c r="AO211" s="10"/>
      <c r="AP211" s="10"/>
      <c r="AQ211" s="11">
        <v>13</v>
      </c>
      <c r="AR211" s="4"/>
      <c r="AS211" s="10"/>
      <c r="AT211" s="10"/>
      <c r="AU211" s="10"/>
      <c r="AV211" s="10"/>
      <c r="AW211" s="10"/>
      <c r="AX211" s="10"/>
      <c r="AY211" s="10"/>
      <c r="AZ211" s="10"/>
      <c r="BA211" s="10"/>
      <c r="BB211" s="10"/>
      <c r="BC211" s="10"/>
      <c r="BD211" s="10"/>
    </row>
    <row r="212" spans="1:56" ht="30" x14ac:dyDescent="0.25">
      <c r="A212" s="4" t="s">
        <v>621</v>
      </c>
      <c r="B212" s="4"/>
      <c r="C212" s="4" t="s">
        <v>22</v>
      </c>
      <c r="D212" s="4" t="s">
        <v>116</v>
      </c>
      <c r="E212" s="5" t="s">
        <v>34</v>
      </c>
      <c r="F212" s="4" t="s">
        <v>622</v>
      </c>
      <c r="G212" s="4" t="s">
        <v>26</v>
      </c>
      <c r="H212" s="4" t="s">
        <v>1055</v>
      </c>
      <c r="I212" s="12"/>
      <c r="J212" s="12"/>
      <c r="K212" s="12"/>
      <c r="L212" s="12"/>
      <c r="M212" s="64"/>
      <c r="N212" s="12"/>
      <c r="O212" s="12"/>
      <c r="P212" s="12"/>
      <c r="Q212" s="12"/>
      <c r="R212" s="12"/>
      <c r="S212" s="12"/>
      <c r="T212" s="12"/>
      <c r="U212" s="12"/>
      <c r="V212" s="12"/>
      <c r="W212" s="7"/>
      <c r="X212" s="12"/>
      <c r="Y212" s="7"/>
      <c r="Z212" s="7"/>
      <c r="AA212" s="7"/>
      <c r="AB212" s="8">
        <f>1/(3*10^-6)</f>
        <v>333333.33333333331</v>
      </c>
      <c r="AC212" s="8"/>
      <c r="AD212" s="4"/>
      <c r="AE212" s="4"/>
      <c r="AF212" s="4"/>
      <c r="AG212" s="4"/>
      <c r="AH212" s="9"/>
      <c r="AI212" s="9"/>
      <c r="AJ212" s="9"/>
      <c r="AK212" s="9" t="s">
        <v>30</v>
      </c>
      <c r="AL212" s="10"/>
      <c r="AM212" s="10"/>
      <c r="AN212" s="10"/>
      <c r="AO212" s="10"/>
      <c r="AP212" s="10"/>
      <c r="AQ212" s="11">
        <v>13</v>
      </c>
      <c r="AR212" s="4"/>
      <c r="AS212" s="10"/>
      <c r="AT212" s="10"/>
      <c r="AU212" s="10"/>
      <c r="AV212" s="10"/>
      <c r="AW212" s="10"/>
      <c r="AX212" s="10"/>
      <c r="AY212" s="10"/>
      <c r="AZ212" s="10"/>
      <c r="BA212" s="10"/>
      <c r="BB212" s="10"/>
      <c r="BC212" s="10"/>
      <c r="BD212" s="10"/>
    </row>
    <row r="213" spans="1:56" ht="30" x14ac:dyDescent="0.25">
      <c r="A213" s="4" t="s">
        <v>626</v>
      </c>
      <c r="B213" s="4"/>
      <c r="C213" s="4" t="s">
        <v>22</v>
      </c>
      <c r="D213" s="4" t="s">
        <v>116</v>
      </c>
      <c r="E213" s="5" t="s">
        <v>34</v>
      </c>
      <c r="F213" s="4" t="s">
        <v>622</v>
      </c>
      <c r="G213" s="4" t="s">
        <v>26</v>
      </c>
      <c r="H213" s="4" t="s">
        <v>1048</v>
      </c>
      <c r="I213" s="12"/>
      <c r="J213" s="12"/>
      <c r="K213" s="12"/>
      <c r="L213" s="12"/>
      <c r="M213" s="64"/>
      <c r="N213" s="12"/>
      <c r="O213" s="12"/>
      <c r="P213" s="12"/>
      <c r="Q213" s="12"/>
      <c r="R213" s="12"/>
      <c r="S213" s="12"/>
      <c r="T213" s="12"/>
      <c r="U213" s="12"/>
      <c r="V213" s="12"/>
      <c r="W213" s="7"/>
      <c r="X213" s="12"/>
      <c r="Y213" s="7"/>
      <c r="Z213" s="7"/>
      <c r="AA213" s="7"/>
      <c r="AB213" s="8">
        <f t="shared" ref="AB213:AB219" si="1">1/(1*10^-5)</f>
        <v>99999.999999999985</v>
      </c>
      <c r="AC213" s="8"/>
      <c r="AD213" s="4"/>
      <c r="AE213" s="4"/>
      <c r="AF213" s="4"/>
      <c r="AG213" s="4"/>
      <c r="AH213" s="9"/>
      <c r="AI213" s="9"/>
      <c r="AJ213" s="9"/>
      <c r="AK213" s="9" t="s">
        <v>30</v>
      </c>
      <c r="AL213" s="10"/>
      <c r="AM213" s="10"/>
      <c r="AN213" s="10"/>
      <c r="AO213" s="10"/>
      <c r="AP213" s="10"/>
      <c r="AQ213" s="11">
        <v>13</v>
      </c>
      <c r="AR213" s="4"/>
      <c r="AS213" s="10"/>
      <c r="AT213" s="10"/>
      <c r="AU213" s="10"/>
      <c r="AV213" s="10"/>
      <c r="AW213" s="10"/>
      <c r="AX213" s="10"/>
      <c r="AY213" s="10"/>
      <c r="AZ213" s="10"/>
      <c r="BA213" s="10"/>
      <c r="BB213" s="10"/>
      <c r="BC213" s="10"/>
      <c r="BD213" s="10"/>
    </row>
    <row r="214" spans="1:56" ht="30" x14ac:dyDescent="0.25">
      <c r="A214" s="4" t="s">
        <v>600</v>
      </c>
      <c r="B214" s="4"/>
      <c r="C214" s="4" t="s">
        <v>22</v>
      </c>
      <c r="D214" s="4" t="s">
        <v>116</v>
      </c>
      <c r="E214" s="5" t="s">
        <v>34</v>
      </c>
      <c r="F214" s="4" t="s">
        <v>622</v>
      </c>
      <c r="G214" s="4" t="s">
        <v>26</v>
      </c>
      <c r="H214" s="4" t="s">
        <v>1049</v>
      </c>
      <c r="I214" s="12">
        <v>0.2</v>
      </c>
      <c r="J214" s="12">
        <v>0.2</v>
      </c>
      <c r="K214" s="12"/>
      <c r="L214" s="12"/>
      <c r="M214" s="64"/>
      <c r="N214" s="12"/>
      <c r="O214" s="12"/>
      <c r="P214" s="12"/>
      <c r="Q214" s="12"/>
      <c r="R214" s="12"/>
      <c r="S214" s="12"/>
      <c r="T214" s="12"/>
      <c r="U214" s="12"/>
      <c r="V214" s="12"/>
      <c r="W214" s="7"/>
      <c r="X214" s="12"/>
      <c r="Y214" s="7"/>
      <c r="Z214" s="7"/>
      <c r="AA214" s="7"/>
      <c r="AB214" s="8">
        <f t="shared" si="1"/>
        <v>99999.999999999985</v>
      </c>
      <c r="AC214" s="8"/>
      <c r="AD214" s="4"/>
      <c r="AE214" s="4"/>
      <c r="AF214" s="4"/>
      <c r="AG214" s="4"/>
      <c r="AH214" s="9"/>
      <c r="AI214" s="9"/>
      <c r="AJ214" s="9"/>
      <c r="AK214" s="9" t="s">
        <v>30</v>
      </c>
      <c r="AL214" s="10"/>
      <c r="AM214" s="10"/>
      <c r="AN214" s="10"/>
      <c r="AO214" s="10"/>
      <c r="AP214" s="10"/>
      <c r="AQ214" s="11">
        <v>13</v>
      </c>
      <c r="AR214" s="4"/>
      <c r="AS214" s="10"/>
      <c r="AT214" s="10"/>
      <c r="AU214" s="10"/>
      <c r="AV214" s="10"/>
      <c r="AW214" s="10"/>
      <c r="AX214" s="10"/>
      <c r="AY214" s="10"/>
      <c r="AZ214" s="10"/>
      <c r="BA214" s="10"/>
      <c r="BB214" s="10"/>
      <c r="BC214" s="10"/>
      <c r="BD214" s="10"/>
    </row>
    <row r="215" spans="1:56" ht="30" x14ac:dyDescent="0.25">
      <c r="A215" s="4" t="s">
        <v>627</v>
      </c>
      <c r="B215" s="4"/>
      <c r="C215" s="4" t="s">
        <v>22</v>
      </c>
      <c r="D215" s="4" t="s">
        <v>116</v>
      </c>
      <c r="E215" s="5" t="s">
        <v>34</v>
      </c>
      <c r="F215" s="4" t="s">
        <v>622</v>
      </c>
      <c r="G215" s="4" t="s">
        <v>26</v>
      </c>
      <c r="H215" s="4" t="s">
        <v>1050</v>
      </c>
      <c r="I215" s="12">
        <v>49.71</v>
      </c>
      <c r="J215" s="12">
        <v>49.71</v>
      </c>
      <c r="K215" s="12"/>
      <c r="L215" s="12"/>
      <c r="M215" s="64"/>
      <c r="N215" s="12"/>
      <c r="O215" s="12"/>
      <c r="P215" s="12"/>
      <c r="Q215" s="12"/>
      <c r="R215" s="12"/>
      <c r="S215" s="12"/>
      <c r="T215" s="12"/>
      <c r="U215" s="12"/>
      <c r="V215" s="12"/>
      <c r="W215" s="7"/>
      <c r="X215" s="12"/>
      <c r="Y215" s="7"/>
      <c r="Z215" s="7"/>
      <c r="AA215" s="7"/>
      <c r="AB215" s="8">
        <f t="shared" si="1"/>
        <v>99999.999999999985</v>
      </c>
      <c r="AC215" s="8"/>
      <c r="AD215" s="4"/>
      <c r="AE215" s="4"/>
      <c r="AF215" s="4"/>
      <c r="AG215" s="4"/>
      <c r="AH215" s="9"/>
      <c r="AI215" s="9"/>
      <c r="AJ215" s="9"/>
      <c r="AK215" s="9" t="s">
        <v>30</v>
      </c>
      <c r="AL215" s="10"/>
      <c r="AM215" s="10"/>
      <c r="AN215" s="10"/>
      <c r="AO215" s="10"/>
      <c r="AP215" s="10"/>
      <c r="AQ215" s="11">
        <v>13</v>
      </c>
      <c r="AR215" s="4"/>
      <c r="AS215" s="10"/>
      <c r="AT215" s="10"/>
      <c r="AU215" s="10"/>
      <c r="AV215" s="10"/>
      <c r="AW215" s="10"/>
      <c r="AX215" s="10"/>
      <c r="AY215" s="10"/>
      <c r="AZ215" s="10"/>
      <c r="BA215" s="10"/>
      <c r="BB215" s="10"/>
      <c r="BC215" s="10"/>
      <c r="BD215" s="10"/>
    </row>
    <row r="216" spans="1:56" ht="30" x14ac:dyDescent="0.25">
      <c r="A216" s="4" t="s">
        <v>628</v>
      </c>
      <c r="B216" s="4"/>
      <c r="C216" s="4" t="s">
        <v>22</v>
      </c>
      <c r="D216" s="4" t="s">
        <v>116</v>
      </c>
      <c r="E216" s="5" t="s">
        <v>34</v>
      </c>
      <c r="F216" s="4" t="s">
        <v>622</v>
      </c>
      <c r="G216" s="4" t="s">
        <v>26</v>
      </c>
      <c r="H216" s="4" t="s">
        <v>1055</v>
      </c>
      <c r="I216" s="12"/>
      <c r="J216" s="12"/>
      <c r="K216" s="12"/>
      <c r="L216" s="12"/>
      <c r="M216" s="64"/>
      <c r="N216" s="12"/>
      <c r="O216" s="12"/>
      <c r="P216" s="12"/>
      <c r="Q216" s="12"/>
      <c r="R216" s="12"/>
      <c r="S216" s="12"/>
      <c r="T216" s="12"/>
      <c r="U216" s="12"/>
      <c r="V216" s="12"/>
      <c r="W216" s="7"/>
      <c r="X216" s="12"/>
      <c r="Y216" s="7"/>
      <c r="Z216" s="7"/>
      <c r="AA216" s="7"/>
      <c r="AB216" s="8">
        <f t="shared" si="1"/>
        <v>99999.999999999985</v>
      </c>
      <c r="AC216" s="8"/>
      <c r="AD216" s="4"/>
      <c r="AE216" s="4"/>
      <c r="AF216" s="4"/>
      <c r="AG216" s="4"/>
      <c r="AH216" s="9"/>
      <c r="AI216" s="9"/>
      <c r="AJ216" s="9"/>
      <c r="AK216" s="9" t="s">
        <v>30</v>
      </c>
      <c r="AL216" s="10"/>
      <c r="AM216" s="10"/>
      <c r="AN216" s="10"/>
      <c r="AO216" s="10"/>
      <c r="AP216" s="10"/>
      <c r="AQ216" s="11">
        <v>13</v>
      </c>
      <c r="AR216" s="4"/>
      <c r="AS216" s="10"/>
      <c r="AT216" s="10"/>
      <c r="AU216" s="10"/>
      <c r="AV216" s="10"/>
      <c r="AW216" s="10"/>
      <c r="AX216" s="10"/>
      <c r="AY216" s="10"/>
      <c r="AZ216" s="10"/>
      <c r="BA216" s="10"/>
      <c r="BB216" s="10"/>
      <c r="BC216" s="10"/>
      <c r="BD216" s="10"/>
    </row>
    <row r="217" spans="1:56" ht="30" x14ac:dyDescent="0.25">
      <c r="A217" s="4" t="s">
        <v>629</v>
      </c>
      <c r="B217" s="4"/>
      <c r="C217" s="4" t="s">
        <v>22</v>
      </c>
      <c r="D217" s="4" t="s">
        <v>116</v>
      </c>
      <c r="E217" s="5" t="s">
        <v>34</v>
      </c>
      <c r="F217" s="4" t="s">
        <v>622</v>
      </c>
      <c r="G217" s="4" t="s">
        <v>26</v>
      </c>
      <c r="H217" s="4" t="s">
        <v>1048</v>
      </c>
      <c r="I217" s="12">
        <v>0.2</v>
      </c>
      <c r="J217" s="12">
        <v>0.2</v>
      </c>
      <c r="K217" s="12"/>
      <c r="L217" s="12"/>
      <c r="M217" s="64"/>
      <c r="N217" s="12"/>
      <c r="O217" s="12"/>
      <c r="P217" s="12"/>
      <c r="Q217" s="12"/>
      <c r="R217" s="12"/>
      <c r="S217" s="12"/>
      <c r="T217" s="12"/>
      <c r="U217" s="12"/>
      <c r="V217" s="12"/>
      <c r="W217" s="7"/>
      <c r="X217" s="12"/>
      <c r="Y217" s="7"/>
      <c r="Z217" s="7"/>
      <c r="AA217" s="7"/>
      <c r="AB217" s="8">
        <f t="shared" si="1"/>
        <v>99999.999999999985</v>
      </c>
      <c r="AC217" s="8"/>
      <c r="AD217" s="4"/>
      <c r="AE217" s="4"/>
      <c r="AF217" s="4"/>
      <c r="AG217" s="4"/>
      <c r="AH217" s="9"/>
      <c r="AI217" s="9"/>
      <c r="AJ217" s="9"/>
      <c r="AK217" s="9" t="s">
        <v>30</v>
      </c>
      <c r="AL217" s="10"/>
      <c r="AM217" s="10"/>
      <c r="AN217" s="10"/>
      <c r="AO217" s="10"/>
      <c r="AP217" s="10"/>
      <c r="AQ217" s="11">
        <v>13</v>
      </c>
      <c r="AR217" s="4"/>
      <c r="AS217" s="10"/>
      <c r="AT217" s="10"/>
      <c r="AU217" s="10"/>
      <c r="AV217" s="10"/>
      <c r="AW217" s="10"/>
      <c r="AX217" s="10"/>
      <c r="AY217" s="10"/>
      <c r="AZ217" s="10"/>
      <c r="BA217" s="10"/>
      <c r="BB217" s="10"/>
      <c r="BC217" s="10"/>
      <c r="BD217" s="10"/>
    </row>
    <row r="218" spans="1:56" ht="30" x14ac:dyDescent="0.25">
      <c r="A218" s="4" t="s">
        <v>603</v>
      </c>
      <c r="B218" s="4"/>
      <c r="C218" s="4" t="s">
        <v>22</v>
      </c>
      <c r="D218" s="4" t="s">
        <v>116</v>
      </c>
      <c r="E218" s="5" t="s">
        <v>34</v>
      </c>
      <c r="F218" s="4" t="s">
        <v>622</v>
      </c>
      <c r="G218" s="4" t="s">
        <v>26</v>
      </c>
      <c r="H218" s="4" t="s">
        <v>1055</v>
      </c>
      <c r="I218" s="12"/>
      <c r="J218" s="12"/>
      <c r="K218" s="12"/>
      <c r="L218" s="12"/>
      <c r="M218" s="64"/>
      <c r="N218" s="12"/>
      <c r="O218" s="12"/>
      <c r="P218" s="12"/>
      <c r="Q218" s="12"/>
      <c r="R218" s="12"/>
      <c r="S218" s="12"/>
      <c r="T218" s="12"/>
      <c r="U218" s="12"/>
      <c r="V218" s="12"/>
      <c r="W218" s="7"/>
      <c r="X218" s="12"/>
      <c r="Y218" s="7"/>
      <c r="Z218" s="7"/>
      <c r="AA218" s="7"/>
      <c r="AB218" s="8">
        <f t="shared" si="1"/>
        <v>99999.999999999985</v>
      </c>
      <c r="AC218" s="8"/>
      <c r="AD218" s="4"/>
      <c r="AE218" s="4"/>
      <c r="AF218" s="4"/>
      <c r="AG218" s="4"/>
      <c r="AH218" s="9"/>
      <c r="AI218" s="9"/>
      <c r="AJ218" s="9"/>
      <c r="AK218" s="9" t="s">
        <v>30</v>
      </c>
      <c r="AL218" s="10"/>
      <c r="AM218" s="10"/>
      <c r="AN218" s="10"/>
      <c r="AO218" s="10"/>
      <c r="AP218" s="10"/>
      <c r="AQ218" s="11">
        <v>13</v>
      </c>
      <c r="AR218" s="4"/>
      <c r="AS218" s="10"/>
      <c r="AT218" s="10"/>
      <c r="AU218" s="10"/>
      <c r="AV218" s="10"/>
      <c r="AW218" s="10"/>
      <c r="AX218" s="10"/>
      <c r="AY218" s="10"/>
      <c r="AZ218" s="10"/>
      <c r="BA218" s="10"/>
      <c r="BB218" s="10"/>
      <c r="BC218" s="10"/>
      <c r="BD218" s="10"/>
    </row>
    <row r="219" spans="1:56" ht="30" x14ac:dyDescent="0.25">
      <c r="A219" s="4" t="s">
        <v>586</v>
      </c>
      <c r="B219" s="4"/>
      <c r="C219" s="4" t="s">
        <v>22</v>
      </c>
      <c r="D219" s="4" t="s">
        <v>116</v>
      </c>
      <c r="E219" s="5" t="s">
        <v>34</v>
      </c>
      <c r="F219" s="4" t="s">
        <v>622</v>
      </c>
      <c r="G219" s="4" t="s">
        <v>26</v>
      </c>
      <c r="H219" s="4" t="s">
        <v>1051</v>
      </c>
      <c r="I219" s="12">
        <v>0.2</v>
      </c>
      <c r="J219" s="12">
        <v>0.2</v>
      </c>
      <c r="K219" s="12"/>
      <c r="L219" s="12"/>
      <c r="M219" s="64"/>
      <c r="N219" s="12"/>
      <c r="O219" s="12"/>
      <c r="P219" s="12"/>
      <c r="Q219" s="12"/>
      <c r="R219" s="12"/>
      <c r="S219" s="12"/>
      <c r="T219" s="12"/>
      <c r="U219" s="12"/>
      <c r="V219" s="12"/>
      <c r="W219" s="7"/>
      <c r="X219" s="12"/>
      <c r="Y219" s="7"/>
      <c r="Z219" s="7"/>
      <c r="AA219" s="7"/>
      <c r="AB219" s="8">
        <f t="shared" si="1"/>
        <v>99999.999999999985</v>
      </c>
      <c r="AC219" s="8"/>
      <c r="AD219" s="4"/>
      <c r="AE219" s="4"/>
      <c r="AF219" s="4"/>
      <c r="AG219" s="4"/>
      <c r="AH219" s="9"/>
      <c r="AI219" s="9"/>
      <c r="AJ219" s="9"/>
      <c r="AK219" s="9" t="s">
        <v>30</v>
      </c>
      <c r="AL219" s="10"/>
      <c r="AM219" s="10"/>
      <c r="AN219" s="10"/>
      <c r="AO219" s="10"/>
      <c r="AP219" s="10"/>
      <c r="AQ219" s="11">
        <v>13</v>
      </c>
      <c r="AR219" s="4"/>
      <c r="AS219" s="10"/>
      <c r="AT219" s="10"/>
      <c r="AU219" s="10"/>
      <c r="AV219" s="10"/>
      <c r="AW219" s="10"/>
      <c r="AX219" s="10"/>
      <c r="AY219" s="10"/>
      <c r="AZ219" s="10"/>
      <c r="BA219" s="10"/>
      <c r="BB219" s="10"/>
      <c r="BC219" s="10"/>
      <c r="BD219" s="10"/>
    </row>
    <row r="220" spans="1:56" ht="30" x14ac:dyDescent="0.25">
      <c r="A220" s="4" t="s">
        <v>587</v>
      </c>
      <c r="B220" s="4"/>
      <c r="C220" s="4" t="s">
        <v>22</v>
      </c>
      <c r="D220" s="4" t="s">
        <v>116</v>
      </c>
      <c r="E220" s="5" t="s">
        <v>34</v>
      </c>
      <c r="F220" s="4" t="s">
        <v>622</v>
      </c>
      <c r="G220" s="4" t="s">
        <v>26</v>
      </c>
      <c r="H220" s="4" t="s">
        <v>1055</v>
      </c>
      <c r="I220" s="12"/>
      <c r="J220" s="12"/>
      <c r="K220" s="12"/>
      <c r="L220" s="12"/>
      <c r="M220" s="64"/>
      <c r="N220" s="12"/>
      <c r="O220" s="12"/>
      <c r="P220" s="12"/>
      <c r="Q220" s="12"/>
      <c r="R220" s="12"/>
      <c r="S220" s="12"/>
      <c r="T220" s="12"/>
      <c r="U220" s="12"/>
      <c r="V220" s="12"/>
      <c r="W220" s="7"/>
      <c r="X220" s="12"/>
      <c r="Y220" s="7"/>
      <c r="Z220" s="7"/>
      <c r="AA220" s="7"/>
      <c r="AB220" s="8">
        <f>1/(1.5*10^-5)</f>
        <v>66666.666666666657</v>
      </c>
      <c r="AC220" s="8"/>
      <c r="AD220" s="4"/>
      <c r="AE220" s="4"/>
      <c r="AF220" s="4"/>
      <c r="AG220" s="4"/>
      <c r="AH220" s="9"/>
      <c r="AI220" s="9"/>
      <c r="AJ220" s="9"/>
      <c r="AK220" s="9" t="s">
        <v>30</v>
      </c>
      <c r="AL220" s="10"/>
      <c r="AM220" s="10"/>
      <c r="AN220" s="10"/>
      <c r="AO220" s="10"/>
      <c r="AP220" s="10"/>
      <c r="AQ220" s="11">
        <v>13</v>
      </c>
      <c r="AR220" s="4"/>
      <c r="AS220" s="10"/>
      <c r="AT220" s="10"/>
      <c r="AU220" s="10"/>
      <c r="AV220" s="10"/>
      <c r="AW220" s="10"/>
      <c r="AX220" s="10"/>
      <c r="AY220" s="10"/>
      <c r="AZ220" s="10"/>
      <c r="BA220" s="10"/>
      <c r="BB220" s="10"/>
      <c r="BC220" s="10"/>
      <c r="BD220" s="10"/>
    </row>
    <row r="221" spans="1:56" ht="30" x14ac:dyDescent="0.25">
      <c r="A221" s="4" t="s">
        <v>590</v>
      </c>
      <c r="B221" s="4"/>
      <c r="C221" s="4" t="s">
        <v>22</v>
      </c>
      <c r="D221" s="4" t="s">
        <v>116</v>
      </c>
      <c r="E221" s="5" t="s">
        <v>34</v>
      </c>
      <c r="F221" s="4" t="s">
        <v>622</v>
      </c>
      <c r="G221" s="4" t="s">
        <v>26</v>
      </c>
      <c r="H221" s="4" t="s">
        <v>1052</v>
      </c>
      <c r="I221" s="12">
        <v>0.2</v>
      </c>
      <c r="J221" s="12">
        <v>0.2</v>
      </c>
      <c r="K221" s="12"/>
      <c r="L221" s="12"/>
      <c r="M221" s="64"/>
      <c r="N221" s="12"/>
      <c r="O221" s="12"/>
      <c r="P221" s="12"/>
      <c r="Q221" s="12"/>
      <c r="R221" s="12"/>
      <c r="S221" s="12"/>
      <c r="T221" s="12"/>
      <c r="U221" s="12"/>
      <c r="V221" s="12"/>
      <c r="W221" s="7"/>
      <c r="X221" s="12"/>
      <c r="Y221" s="7"/>
      <c r="Z221" s="7"/>
      <c r="AA221" s="7"/>
      <c r="AB221" s="8">
        <f>1/(1*10^-5)</f>
        <v>99999.999999999985</v>
      </c>
      <c r="AC221" s="8"/>
      <c r="AD221" s="4"/>
      <c r="AE221" s="4"/>
      <c r="AF221" s="4"/>
      <c r="AG221" s="4"/>
      <c r="AH221" s="9"/>
      <c r="AI221" s="9"/>
      <c r="AJ221" s="9"/>
      <c r="AK221" s="9" t="s">
        <v>30</v>
      </c>
      <c r="AL221" s="10"/>
      <c r="AM221" s="10"/>
      <c r="AN221" s="10"/>
      <c r="AO221" s="10"/>
      <c r="AP221" s="10"/>
      <c r="AQ221" s="11">
        <v>13</v>
      </c>
      <c r="AR221" s="4"/>
      <c r="AS221" s="10"/>
      <c r="AT221" s="10"/>
      <c r="AU221" s="10"/>
      <c r="AV221" s="10"/>
      <c r="AW221" s="10"/>
      <c r="AX221" s="10"/>
      <c r="AY221" s="10"/>
      <c r="AZ221" s="10"/>
      <c r="BA221" s="10"/>
      <c r="BB221" s="10"/>
      <c r="BC221" s="10"/>
      <c r="BD221" s="10"/>
    </row>
    <row r="222" spans="1:56" ht="30" x14ac:dyDescent="0.25">
      <c r="A222" s="4" t="s">
        <v>591</v>
      </c>
      <c r="B222" s="4"/>
      <c r="C222" s="4" t="s">
        <v>22</v>
      </c>
      <c r="D222" s="4" t="s">
        <v>116</v>
      </c>
      <c r="E222" s="5" t="s">
        <v>34</v>
      </c>
      <c r="F222" s="4" t="s">
        <v>622</v>
      </c>
      <c r="G222" s="4" t="s">
        <v>26</v>
      </c>
      <c r="H222" s="4" t="s">
        <v>1048</v>
      </c>
      <c r="I222" s="12">
        <v>1.01</v>
      </c>
      <c r="J222" s="12">
        <v>1.01</v>
      </c>
      <c r="K222" s="12"/>
      <c r="L222" s="12"/>
      <c r="M222" s="64"/>
      <c r="N222" s="12"/>
      <c r="O222" s="12"/>
      <c r="P222" s="12"/>
      <c r="Q222" s="12"/>
      <c r="R222" s="12"/>
      <c r="S222" s="12"/>
      <c r="T222" s="12"/>
      <c r="U222" s="12"/>
      <c r="V222" s="12"/>
      <c r="W222" s="7"/>
      <c r="X222" s="12"/>
      <c r="Y222" s="7"/>
      <c r="Z222" s="7"/>
      <c r="AA222" s="7"/>
      <c r="AB222" s="8">
        <f>1/(6*10^-6)</f>
        <v>166666.66666666666</v>
      </c>
      <c r="AC222" s="8"/>
      <c r="AD222" s="4"/>
      <c r="AE222" s="4"/>
      <c r="AF222" s="4"/>
      <c r="AG222" s="4"/>
      <c r="AH222" s="9"/>
      <c r="AI222" s="9"/>
      <c r="AJ222" s="9"/>
      <c r="AK222" s="9" t="s">
        <v>30</v>
      </c>
      <c r="AL222" s="10"/>
      <c r="AM222" s="10"/>
      <c r="AN222" s="10"/>
      <c r="AO222" s="10"/>
      <c r="AP222" s="10"/>
      <c r="AQ222" s="11">
        <v>13</v>
      </c>
      <c r="AR222" s="4"/>
      <c r="AS222" s="10"/>
      <c r="AT222" s="10"/>
      <c r="AU222" s="10"/>
      <c r="AV222" s="10"/>
      <c r="AW222" s="10"/>
      <c r="AX222" s="10"/>
      <c r="AY222" s="10"/>
      <c r="AZ222" s="10"/>
      <c r="BA222" s="10"/>
      <c r="BB222" s="10"/>
      <c r="BC222" s="10"/>
      <c r="BD222" s="10"/>
    </row>
    <row r="223" spans="1:56" ht="30" x14ac:dyDescent="0.25">
      <c r="A223" s="4" t="s">
        <v>630</v>
      </c>
      <c r="B223" s="4"/>
      <c r="C223" s="4" t="s">
        <v>22</v>
      </c>
      <c r="D223" s="4" t="s">
        <v>116</v>
      </c>
      <c r="E223" s="5" t="s">
        <v>34</v>
      </c>
      <c r="F223" s="4" t="s">
        <v>622</v>
      </c>
      <c r="G223" s="4" t="s">
        <v>26</v>
      </c>
      <c r="H223" s="4" t="s">
        <v>1049</v>
      </c>
      <c r="I223" s="12">
        <v>1.01</v>
      </c>
      <c r="J223" s="12">
        <v>1.01</v>
      </c>
      <c r="K223" s="12"/>
      <c r="L223" s="12"/>
      <c r="M223" s="64"/>
      <c r="N223" s="12"/>
      <c r="O223" s="12"/>
      <c r="P223" s="12"/>
      <c r="Q223" s="12"/>
      <c r="R223" s="12"/>
      <c r="S223" s="12"/>
      <c r="T223" s="12"/>
      <c r="U223" s="12"/>
      <c r="V223" s="12"/>
      <c r="W223" s="7"/>
      <c r="X223" s="12"/>
      <c r="Y223" s="7"/>
      <c r="Z223" s="7"/>
      <c r="AA223" s="7"/>
      <c r="AB223" s="8">
        <f>1/(1*10^-5)</f>
        <v>99999.999999999985</v>
      </c>
      <c r="AC223" s="8"/>
      <c r="AD223" s="4"/>
      <c r="AE223" s="4"/>
      <c r="AF223" s="4"/>
      <c r="AG223" s="4"/>
      <c r="AH223" s="9"/>
      <c r="AI223" s="9"/>
      <c r="AJ223" s="9"/>
      <c r="AK223" s="9" t="s">
        <v>30</v>
      </c>
      <c r="AL223" s="10"/>
      <c r="AM223" s="10"/>
      <c r="AN223" s="10"/>
      <c r="AO223" s="10"/>
      <c r="AP223" s="10"/>
      <c r="AQ223" s="11">
        <v>13</v>
      </c>
      <c r="AR223" s="4"/>
      <c r="AS223" s="10"/>
      <c r="AT223" s="10"/>
      <c r="AU223" s="10"/>
      <c r="AV223" s="10"/>
      <c r="AW223" s="10"/>
      <c r="AX223" s="10"/>
      <c r="AY223" s="10"/>
      <c r="AZ223" s="10"/>
      <c r="BA223" s="10"/>
      <c r="BB223" s="10"/>
      <c r="BC223" s="10"/>
      <c r="BD223" s="10"/>
    </row>
    <row r="224" spans="1:56" ht="30" x14ac:dyDescent="0.25">
      <c r="A224" s="4" t="s">
        <v>631</v>
      </c>
      <c r="B224" s="4"/>
      <c r="C224" s="4" t="s">
        <v>22</v>
      </c>
      <c r="D224" s="4" t="s">
        <v>116</v>
      </c>
      <c r="E224" s="5" t="s">
        <v>34</v>
      </c>
      <c r="F224" s="4" t="s">
        <v>622</v>
      </c>
      <c r="G224" s="4" t="s">
        <v>26</v>
      </c>
      <c r="H224" s="4" t="s">
        <v>1050</v>
      </c>
      <c r="I224" s="12">
        <v>1.01</v>
      </c>
      <c r="J224" s="12">
        <v>1.01</v>
      </c>
      <c r="K224" s="12"/>
      <c r="L224" s="12"/>
      <c r="M224" s="64"/>
      <c r="N224" s="12"/>
      <c r="O224" s="12"/>
      <c r="P224" s="12"/>
      <c r="Q224" s="12"/>
      <c r="R224" s="12"/>
      <c r="S224" s="12"/>
      <c r="T224" s="12"/>
      <c r="U224" s="12"/>
      <c r="V224" s="12"/>
      <c r="W224" s="7"/>
      <c r="X224" s="12"/>
      <c r="Y224" s="7"/>
      <c r="Z224" s="7"/>
      <c r="AA224" s="7"/>
      <c r="AB224" s="8">
        <f>1/(5.99*10^-6)</f>
        <v>166944.9081803005</v>
      </c>
      <c r="AC224" s="8"/>
      <c r="AD224" s="4"/>
      <c r="AE224" s="4"/>
      <c r="AF224" s="4"/>
      <c r="AG224" s="4"/>
      <c r="AH224" s="9"/>
      <c r="AI224" s="9"/>
      <c r="AJ224" s="9"/>
      <c r="AK224" s="9" t="s">
        <v>30</v>
      </c>
      <c r="AL224" s="10"/>
      <c r="AM224" s="10"/>
      <c r="AN224" s="10"/>
      <c r="AO224" s="10"/>
      <c r="AP224" s="10"/>
      <c r="AQ224" s="11">
        <v>13</v>
      </c>
      <c r="AR224" s="4"/>
      <c r="AS224" s="10"/>
      <c r="AT224" s="10"/>
      <c r="AU224" s="10"/>
      <c r="AV224" s="10"/>
      <c r="AW224" s="10"/>
      <c r="AX224" s="10"/>
      <c r="AY224" s="10"/>
      <c r="AZ224" s="10"/>
      <c r="BA224" s="10"/>
      <c r="BB224" s="10"/>
      <c r="BC224" s="10"/>
      <c r="BD224" s="10"/>
    </row>
    <row r="225" spans="1:56" ht="30" x14ac:dyDescent="0.25">
      <c r="A225" s="16" t="s">
        <v>1206</v>
      </c>
      <c r="B225" s="16"/>
      <c r="C225" s="4" t="s">
        <v>22</v>
      </c>
      <c r="D225" s="4" t="s">
        <v>116</v>
      </c>
      <c r="E225" s="5" t="s">
        <v>34</v>
      </c>
      <c r="F225" s="4"/>
      <c r="G225" s="4" t="s">
        <v>26</v>
      </c>
      <c r="H225" s="4" t="s">
        <v>1207</v>
      </c>
      <c r="I225" s="12"/>
      <c r="J225" s="12">
        <v>92.73</v>
      </c>
      <c r="K225" s="12"/>
      <c r="L225" s="12"/>
      <c r="M225" s="64"/>
      <c r="N225" s="12"/>
      <c r="O225" s="12"/>
      <c r="P225" s="12"/>
      <c r="Q225" s="12"/>
      <c r="R225" s="12"/>
      <c r="S225" s="12"/>
      <c r="T225" s="12"/>
      <c r="U225" s="12">
        <v>62.129100000000008</v>
      </c>
      <c r="V225" s="12">
        <v>62.129100000000008</v>
      </c>
      <c r="W225" s="7"/>
      <c r="X225" s="12"/>
      <c r="Y225" s="7"/>
      <c r="Z225" s="7"/>
      <c r="AA225" s="7"/>
      <c r="AB225" s="8"/>
      <c r="AC225" s="8"/>
      <c r="AD225" s="4"/>
      <c r="AE225" s="4"/>
      <c r="AF225" s="4"/>
      <c r="AG225" s="4"/>
      <c r="AH225" s="9"/>
      <c r="AI225" s="9"/>
      <c r="AJ225" s="9"/>
      <c r="AK225" s="9"/>
      <c r="AL225" s="10"/>
      <c r="AM225" s="10"/>
      <c r="AN225" s="10"/>
      <c r="AO225" s="10"/>
      <c r="AP225" s="10"/>
      <c r="AQ225" s="11"/>
      <c r="AR225" s="4"/>
      <c r="AS225" s="10"/>
      <c r="AT225" s="10"/>
      <c r="AU225" s="10"/>
      <c r="AV225" s="10"/>
      <c r="AW225" s="10"/>
      <c r="AX225" s="10"/>
      <c r="AY225" s="10"/>
      <c r="AZ225" s="10"/>
      <c r="BA225" s="10"/>
      <c r="BB225" s="10"/>
      <c r="BC225" s="10"/>
      <c r="BD225" s="10"/>
    </row>
    <row r="226" spans="1:56" ht="30" x14ac:dyDescent="0.25">
      <c r="A226" s="4" t="s">
        <v>620</v>
      </c>
      <c r="B226" s="4"/>
      <c r="C226" s="4" t="s">
        <v>46</v>
      </c>
      <c r="D226" s="4" t="s">
        <v>47</v>
      </c>
      <c r="E226" s="5" t="s">
        <v>34</v>
      </c>
      <c r="F226" s="4" t="s">
        <v>632</v>
      </c>
      <c r="G226" s="4" t="s">
        <v>26</v>
      </c>
      <c r="H226" s="4" t="s">
        <v>1053</v>
      </c>
      <c r="I226" s="12"/>
      <c r="J226" s="12"/>
      <c r="K226" s="12"/>
      <c r="L226" s="12"/>
      <c r="M226" s="64"/>
      <c r="N226" s="12"/>
      <c r="O226" s="12"/>
      <c r="P226" s="12"/>
      <c r="Q226" s="12"/>
      <c r="R226" s="12"/>
      <c r="S226" s="12"/>
      <c r="T226" s="12"/>
      <c r="U226" s="12"/>
      <c r="V226" s="12"/>
      <c r="W226" s="7"/>
      <c r="X226" s="12"/>
      <c r="Y226" s="7"/>
      <c r="Z226" s="7"/>
      <c r="AA226" s="7"/>
      <c r="AB226" s="8">
        <f>1/(1.7*10^-5)</f>
        <v>58823.529411764706</v>
      </c>
      <c r="AC226" s="8"/>
      <c r="AD226" s="4"/>
      <c r="AE226" s="4"/>
      <c r="AF226" s="4"/>
      <c r="AG226" s="4"/>
      <c r="AH226" s="9"/>
      <c r="AI226" s="9"/>
      <c r="AJ226" s="9"/>
      <c r="AK226" s="9" t="s">
        <v>30</v>
      </c>
      <c r="AL226" s="10"/>
      <c r="AM226" s="10"/>
      <c r="AN226" s="10"/>
      <c r="AO226" s="10"/>
      <c r="AP226" s="10"/>
      <c r="AQ226" s="11">
        <v>13</v>
      </c>
      <c r="AR226" s="4"/>
      <c r="AS226" s="10"/>
      <c r="AT226" s="10"/>
      <c r="AU226" s="10"/>
      <c r="AV226" s="10"/>
      <c r="AW226" s="10"/>
      <c r="AX226" s="10"/>
      <c r="AY226" s="10"/>
      <c r="AZ226" s="10"/>
      <c r="BA226" s="10"/>
      <c r="BB226" s="10"/>
      <c r="BC226" s="10"/>
      <c r="BD226" s="10"/>
    </row>
    <row r="227" spans="1:56" ht="30" x14ac:dyDescent="0.25">
      <c r="A227" s="4" t="s">
        <v>614</v>
      </c>
      <c r="B227" s="4"/>
      <c r="C227" s="4" t="s">
        <v>46</v>
      </c>
      <c r="D227" s="4" t="s">
        <v>47</v>
      </c>
      <c r="E227" s="5" t="s">
        <v>34</v>
      </c>
      <c r="F227" s="4" t="s">
        <v>632</v>
      </c>
      <c r="G227" s="4" t="s">
        <v>26</v>
      </c>
      <c r="H227" s="4" t="s">
        <v>1053</v>
      </c>
      <c r="I227" s="12"/>
      <c r="J227" s="12"/>
      <c r="K227" s="12"/>
      <c r="L227" s="12"/>
      <c r="M227" s="64"/>
      <c r="N227" s="12"/>
      <c r="O227" s="12"/>
      <c r="P227" s="12"/>
      <c r="Q227" s="12"/>
      <c r="R227" s="12"/>
      <c r="S227" s="12"/>
      <c r="T227" s="12"/>
      <c r="U227" s="12"/>
      <c r="V227" s="12"/>
      <c r="W227" s="7"/>
      <c r="X227" s="12"/>
      <c r="Y227" s="7"/>
      <c r="Z227" s="7"/>
      <c r="AA227" s="7"/>
      <c r="AB227" s="8">
        <f>1/(4.67*10^-5)</f>
        <v>21413.276231263382</v>
      </c>
      <c r="AC227" s="8"/>
      <c r="AD227" s="4"/>
      <c r="AE227" s="4"/>
      <c r="AF227" s="4"/>
      <c r="AG227" s="4"/>
      <c r="AH227" s="9"/>
      <c r="AI227" s="9"/>
      <c r="AJ227" s="9"/>
      <c r="AK227" s="9" t="s">
        <v>30</v>
      </c>
      <c r="AL227" s="10"/>
      <c r="AM227" s="10"/>
      <c r="AN227" s="10"/>
      <c r="AO227" s="10"/>
      <c r="AP227" s="10"/>
      <c r="AQ227" s="11">
        <v>13</v>
      </c>
      <c r="AR227" s="4"/>
      <c r="AS227" s="10"/>
      <c r="AT227" s="10"/>
      <c r="AU227" s="10"/>
      <c r="AV227" s="10"/>
      <c r="AW227" s="10"/>
      <c r="AX227" s="10"/>
      <c r="AY227" s="10"/>
      <c r="AZ227" s="10"/>
      <c r="BA227" s="10"/>
      <c r="BB227" s="10"/>
      <c r="BC227" s="10"/>
      <c r="BD227" s="10"/>
    </row>
    <row r="228" spans="1:56" ht="30" x14ac:dyDescent="0.25">
      <c r="A228" s="4" t="s">
        <v>634</v>
      </c>
      <c r="B228" s="4"/>
      <c r="C228" s="4" t="s">
        <v>46</v>
      </c>
      <c r="D228" s="4" t="s">
        <v>47</v>
      </c>
      <c r="E228" s="5" t="s">
        <v>34</v>
      </c>
      <c r="F228" s="4" t="s">
        <v>632</v>
      </c>
      <c r="G228" s="4" t="s">
        <v>26</v>
      </c>
      <c r="H228" s="4" t="s">
        <v>1053</v>
      </c>
      <c r="I228" s="12"/>
      <c r="J228" s="12"/>
      <c r="K228" s="12"/>
      <c r="L228" s="12"/>
      <c r="M228" s="64"/>
      <c r="N228" s="12"/>
      <c r="O228" s="12"/>
      <c r="P228" s="12"/>
      <c r="Q228" s="12"/>
      <c r="R228" s="12"/>
      <c r="S228" s="12"/>
      <c r="T228" s="12"/>
      <c r="U228" s="12"/>
      <c r="V228" s="12"/>
      <c r="W228" s="7"/>
      <c r="X228" s="12"/>
      <c r="Y228" s="7"/>
      <c r="Z228" s="7"/>
      <c r="AA228" s="7"/>
      <c r="AB228" s="8">
        <f>1/(7.02*10^-6)</f>
        <v>142450.14245014248</v>
      </c>
      <c r="AC228" s="8"/>
      <c r="AD228" s="4"/>
      <c r="AE228" s="4"/>
      <c r="AF228" s="4"/>
      <c r="AG228" s="4"/>
      <c r="AH228" s="9"/>
      <c r="AI228" s="9"/>
      <c r="AJ228" s="9"/>
      <c r="AK228" s="9" t="s">
        <v>30</v>
      </c>
      <c r="AL228" s="10"/>
      <c r="AM228" s="10"/>
      <c r="AN228" s="10"/>
      <c r="AO228" s="10"/>
      <c r="AP228" s="10"/>
      <c r="AQ228" s="11">
        <v>13</v>
      </c>
      <c r="AR228" s="4"/>
      <c r="AS228" s="10"/>
      <c r="AT228" s="10"/>
      <c r="AU228" s="10"/>
      <c r="AV228" s="10"/>
      <c r="AW228" s="10"/>
      <c r="AX228" s="10"/>
      <c r="AY228" s="10"/>
      <c r="AZ228" s="10"/>
      <c r="BA228" s="10"/>
      <c r="BB228" s="10"/>
      <c r="BC228" s="10"/>
      <c r="BD228" s="10"/>
    </row>
    <row r="229" spans="1:56" ht="30" x14ac:dyDescent="0.25">
      <c r="A229" s="4" t="s">
        <v>629</v>
      </c>
      <c r="B229" s="4"/>
      <c r="C229" s="4" t="s">
        <v>46</v>
      </c>
      <c r="D229" s="4" t="s">
        <v>47</v>
      </c>
      <c r="E229" s="5" t="s">
        <v>34</v>
      </c>
      <c r="F229" s="4" t="s">
        <v>632</v>
      </c>
      <c r="G229" s="4" t="s">
        <v>26</v>
      </c>
      <c r="H229" s="4" t="s">
        <v>1053</v>
      </c>
      <c r="I229" s="12"/>
      <c r="J229" s="12"/>
      <c r="K229" s="12"/>
      <c r="L229" s="12"/>
      <c r="M229" s="64"/>
      <c r="N229" s="12"/>
      <c r="O229" s="12"/>
      <c r="P229" s="12"/>
      <c r="Q229" s="12"/>
      <c r="R229" s="12"/>
      <c r="S229" s="12"/>
      <c r="T229" s="12"/>
      <c r="U229" s="12"/>
      <c r="V229" s="12"/>
      <c r="W229" s="7"/>
      <c r="X229" s="12"/>
      <c r="Y229" s="7"/>
      <c r="Z229" s="7"/>
      <c r="AA229" s="7"/>
      <c r="AB229" s="8">
        <f>1/(1*10^-5)</f>
        <v>99999.999999999985</v>
      </c>
      <c r="AC229" s="8"/>
      <c r="AD229" s="4"/>
      <c r="AE229" s="4"/>
      <c r="AF229" s="4"/>
      <c r="AG229" s="4"/>
      <c r="AH229" s="9"/>
      <c r="AI229" s="9"/>
      <c r="AJ229" s="9"/>
      <c r="AK229" s="9" t="s">
        <v>30</v>
      </c>
      <c r="AL229" s="10"/>
      <c r="AM229" s="10"/>
      <c r="AN229" s="10"/>
      <c r="AO229" s="10"/>
      <c r="AP229" s="10"/>
      <c r="AQ229" s="11">
        <v>13</v>
      </c>
      <c r="AR229" s="4"/>
      <c r="AS229" s="10"/>
      <c r="AT229" s="10"/>
      <c r="AU229" s="10"/>
      <c r="AV229" s="10"/>
      <c r="AW229" s="10"/>
      <c r="AX229" s="10"/>
      <c r="AY229" s="10"/>
      <c r="AZ229" s="10"/>
      <c r="BA229" s="10"/>
      <c r="BB229" s="10"/>
      <c r="BC229" s="10"/>
      <c r="BD229" s="10"/>
    </row>
    <row r="230" spans="1:56" ht="30" x14ac:dyDescent="0.25">
      <c r="A230" s="4" t="s">
        <v>603</v>
      </c>
      <c r="B230" s="4"/>
      <c r="C230" s="4" t="s">
        <v>46</v>
      </c>
      <c r="D230" s="4" t="s">
        <v>47</v>
      </c>
      <c r="E230" s="5" t="s">
        <v>34</v>
      </c>
      <c r="F230" s="4" t="s">
        <v>632</v>
      </c>
      <c r="G230" s="4" t="s">
        <v>26</v>
      </c>
      <c r="H230" s="4" t="s">
        <v>1053</v>
      </c>
      <c r="I230" s="12"/>
      <c r="J230" s="12"/>
      <c r="K230" s="12"/>
      <c r="L230" s="12"/>
      <c r="M230" s="64"/>
      <c r="N230" s="12"/>
      <c r="O230" s="12"/>
      <c r="P230" s="12"/>
      <c r="Q230" s="12"/>
      <c r="R230" s="12"/>
      <c r="S230" s="12"/>
      <c r="T230" s="12"/>
      <c r="U230" s="12"/>
      <c r="V230" s="12"/>
      <c r="W230" s="7"/>
      <c r="X230" s="12"/>
      <c r="Y230" s="7"/>
      <c r="Z230" s="7"/>
      <c r="AA230" s="7"/>
      <c r="AB230" s="8">
        <f>1/(1*10^-5)</f>
        <v>99999.999999999985</v>
      </c>
      <c r="AC230" s="8"/>
      <c r="AD230" s="4"/>
      <c r="AE230" s="4"/>
      <c r="AF230" s="4"/>
      <c r="AG230" s="4"/>
      <c r="AH230" s="9"/>
      <c r="AI230" s="9"/>
      <c r="AJ230" s="9"/>
      <c r="AK230" s="9" t="s">
        <v>30</v>
      </c>
      <c r="AL230" s="10"/>
      <c r="AM230" s="10"/>
      <c r="AN230" s="10"/>
      <c r="AO230" s="10"/>
      <c r="AP230" s="10"/>
      <c r="AQ230" s="11">
        <v>13</v>
      </c>
      <c r="AR230" s="4"/>
      <c r="AS230" s="10"/>
      <c r="AT230" s="10"/>
      <c r="AU230" s="10"/>
      <c r="AV230" s="10"/>
      <c r="AW230" s="10"/>
      <c r="AX230" s="10"/>
      <c r="AY230" s="10"/>
      <c r="AZ230" s="10"/>
      <c r="BA230" s="10"/>
      <c r="BB230" s="10"/>
      <c r="BC230" s="10"/>
      <c r="BD230" s="10"/>
    </row>
    <row r="231" spans="1:56" ht="30" x14ac:dyDescent="0.25">
      <c r="A231" s="4" t="s">
        <v>586</v>
      </c>
      <c r="B231" s="4"/>
      <c r="C231" s="4" t="s">
        <v>46</v>
      </c>
      <c r="D231" s="4" t="s">
        <v>47</v>
      </c>
      <c r="E231" s="5" t="s">
        <v>34</v>
      </c>
      <c r="F231" s="4" t="s">
        <v>632</v>
      </c>
      <c r="G231" s="4" t="s">
        <v>26</v>
      </c>
      <c r="H231" s="4" t="s">
        <v>1056</v>
      </c>
      <c r="I231" s="12"/>
      <c r="J231" s="12"/>
      <c r="K231" s="12"/>
      <c r="L231" s="12"/>
      <c r="M231" s="64"/>
      <c r="N231" s="12"/>
      <c r="O231" s="12"/>
      <c r="P231" s="12"/>
      <c r="Q231" s="12"/>
      <c r="R231" s="12"/>
      <c r="S231" s="12"/>
      <c r="T231" s="12"/>
      <c r="U231" s="12"/>
      <c r="V231" s="12"/>
      <c r="W231" s="7"/>
      <c r="X231" s="12"/>
      <c r="Y231" s="7"/>
      <c r="Z231" s="7"/>
      <c r="AA231" s="7"/>
      <c r="AB231" s="8">
        <f>1/(1*10^-5)</f>
        <v>99999.999999999985</v>
      </c>
      <c r="AC231" s="8"/>
      <c r="AD231" s="4"/>
      <c r="AE231" s="4"/>
      <c r="AF231" s="4"/>
      <c r="AG231" s="4"/>
      <c r="AH231" s="9"/>
      <c r="AI231" s="9"/>
      <c r="AJ231" s="9"/>
      <c r="AK231" s="9" t="s">
        <v>30</v>
      </c>
      <c r="AL231" s="10"/>
      <c r="AM231" s="10"/>
      <c r="AN231" s="10"/>
      <c r="AO231" s="10"/>
      <c r="AP231" s="10"/>
      <c r="AQ231" s="11">
        <v>13</v>
      </c>
      <c r="AR231" s="4"/>
      <c r="AS231" s="10"/>
      <c r="AT231" s="10"/>
      <c r="AU231" s="10"/>
      <c r="AV231" s="10"/>
      <c r="AW231" s="10"/>
      <c r="AX231" s="10"/>
      <c r="AY231" s="10"/>
      <c r="AZ231" s="10"/>
      <c r="BA231" s="10"/>
      <c r="BB231" s="10"/>
      <c r="BC231" s="10"/>
      <c r="BD231" s="10"/>
    </row>
    <row r="232" spans="1:56" ht="30" x14ac:dyDescent="0.25">
      <c r="A232" s="4" t="s">
        <v>587</v>
      </c>
      <c r="B232" s="4"/>
      <c r="C232" s="4" t="s">
        <v>46</v>
      </c>
      <c r="D232" s="4" t="s">
        <v>47</v>
      </c>
      <c r="E232" s="5" t="s">
        <v>34</v>
      </c>
      <c r="F232" s="4" t="s">
        <v>632</v>
      </c>
      <c r="G232" s="4" t="s">
        <v>26</v>
      </c>
      <c r="H232" s="4" t="s">
        <v>635</v>
      </c>
      <c r="I232" s="12"/>
      <c r="J232" s="12"/>
      <c r="K232" s="12"/>
      <c r="L232" s="12"/>
      <c r="M232" s="64"/>
      <c r="N232" s="12"/>
      <c r="O232" s="12"/>
      <c r="P232" s="12"/>
      <c r="Q232" s="12"/>
      <c r="R232" s="12"/>
      <c r="S232" s="12"/>
      <c r="T232" s="12"/>
      <c r="U232" s="12"/>
      <c r="V232" s="12"/>
      <c r="W232" s="7"/>
      <c r="X232" s="12"/>
      <c r="Y232" s="7"/>
      <c r="Z232" s="7"/>
      <c r="AA232" s="7"/>
      <c r="AB232" s="8">
        <f>1/(1.5*10^-5)</f>
        <v>66666.666666666657</v>
      </c>
      <c r="AC232" s="8"/>
      <c r="AD232" s="4"/>
      <c r="AE232" s="4"/>
      <c r="AF232" s="4"/>
      <c r="AG232" s="4"/>
      <c r="AH232" s="9"/>
      <c r="AI232" s="9"/>
      <c r="AJ232" s="9"/>
      <c r="AK232" s="9" t="s">
        <v>30</v>
      </c>
      <c r="AL232" s="10"/>
      <c r="AM232" s="10"/>
      <c r="AN232" s="10"/>
      <c r="AO232" s="10"/>
      <c r="AP232" s="10"/>
      <c r="AQ232" s="11">
        <v>13</v>
      </c>
      <c r="AR232" s="4"/>
      <c r="AS232" s="10"/>
      <c r="AT232" s="10"/>
      <c r="AU232" s="10"/>
      <c r="AV232" s="10"/>
      <c r="AW232" s="10"/>
      <c r="AX232" s="10"/>
      <c r="AY232" s="10"/>
      <c r="AZ232" s="10"/>
      <c r="BA232" s="10"/>
      <c r="BB232" s="10"/>
      <c r="BC232" s="10"/>
      <c r="BD232" s="10"/>
    </row>
    <row r="233" spans="1:56" ht="30" x14ac:dyDescent="0.25">
      <c r="A233" s="4" t="s">
        <v>636</v>
      </c>
      <c r="B233" s="4"/>
      <c r="C233" s="4" t="s">
        <v>46</v>
      </c>
      <c r="D233" s="4" t="s">
        <v>47</v>
      </c>
      <c r="E233" s="5" t="s">
        <v>34</v>
      </c>
      <c r="F233" s="4" t="s">
        <v>632</v>
      </c>
      <c r="G233" s="4" t="s">
        <v>26</v>
      </c>
      <c r="H233" s="4" t="s">
        <v>1053</v>
      </c>
      <c r="I233" s="12"/>
      <c r="J233" s="12"/>
      <c r="K233" s="12"/>
      <c r="L233" s="12"/>
      <c r="M233" s="64"/>
      <c r="N233" s="12"/>
      <c r="O233" s="12"/>
      <c r="P233" s="12"/>
      <c r="Q233" s="12"/>
      <c r="R233" s="12"/>
      <c r="S233" s="12"/>
      <c r="T233" s="12"/>
      <c r="U233" s="12"/>
      <c r="V233" s="12"/>
      <c r="W233" s="7"/>
      <c r="X233" s="12"/>
      <c r="Y233" s="7"/>
      <c r="Z233" s="7"/>
      <c r="AA233" s="7"/>
      <c r="AB233" s="8">
        <f>1/(1*10^-8)</f>
        <v>100000000</v>
      </c>
      <c r="AC233" s="8"/>
      <c r="AD233" s="4"/>
      <c r="AE233" s="4"/>
      <c r="AF233" s="4"/>
      <c r="AG233" s="4"/>
      <c r="AH233" s="9"/>
      <c r="AI233" s="9"/>
      <c r="AJ233" s="9"/>
      <c r="AK233" s="9" t="s">
        <v>30</v>
      </c>
      <c r="AL233" s="10"/>
      <c r="AM233" s="10"/>
      <c r="AN233" s="10"/>
      <c r="AO233" s="10"/>
      <c r="AP233" s="10"/>
      <c r="AQ233" s="11">
        <v>13</v>
      </c>
      <c r="AR233" s="4"/>
      <c r="AS233" s="10"/>
      <c r="AT233" s="10"/>
      <c r="AU233" s="10"/>
      <c r="AV233" s="10"/>
      <c r="AW233" s="10"/>
      <c r="AX233" s="10"/>
      <c r="AY233" s="10"/>
      <c r="AZ233" s="10"/>
      <c r="BA233" s="10"/>
      <c r="BB233" s="10"/>
      <c r="BC233" s="10"/>
      <c r="BD233" s="10"/>
    </row>
    <row r="234" spans="1:56" ht="30" x14ac:dyDescent="0.25">
      <c r="A234" s="4" t="s">
        <v>590</v>
      </c>
      <c r="B234" s="4"/>
      <c r="C234" s="4" t="s">
        <v>46</v>
      </c>
      <c r="D234" s="4" t="s">
        <v>47</v>
      </c>
      <c r="E234" s="5" t="s">
        <v>34</v>
      </c>
      <c r="F234" s="4" t="s">
        <v>632</v>
      </c>
      <c r="G234" s="4" t="s">
        <v>26</v>
      </c>
      <c r="H234" s="4" t="s">
        <v>637</v>
      </c>
      <c r="I234" s="12"/>
      <c r="J234" s="12"/>
      <c r="K234" s="12"/>
      <c r="L234" s="12"/>
      <c r="M234" s="64"/>
      <c r="N234" s="12"/>
      <c r="O234" s="12"/>
      <c r="P234" s="12"/>
      <c r="Q234" s="12"/>
      <c r="R234" s="12"/>
      <c r="S234" s="12"/>
      <c r="T234" s="12"/>
      <c r="U234" s="12"/>
      <c r="V234" s="12"/>
      <c r="W234" s="7"/>
      <c r="X234" s="12"/>
      <c r="Y234" s="7"/>
      <c r="Z234" s="7"/>
      <c r="AA234" s="7"/>
      <c r="AB234" s="8">
        <f>1/(1*10^-5)</f>
        <v>99999.999999999985</v>
      </c>
      <c r="AC234" s="8"/>
      <c r="AD234" s="4"/>
      <c r="AE234" s="4"/>
      <c r="AF234" s="4"/>
      <c r="AG234" s="4"/>
      <c r="AH234" s="9"/>
      <c r="AI234" s="9"/>
      <c r="AJ234" s="9"/>
      <c r="AK234" s="9" t="s">
        <v>30</v>
      </c>
      <c r="AL234" s="10"/>
      <c r="AM234" s="10"/>
      <c r="AN234" s="10"/>
      <c r="AO234" s="10"/>
      <c r="AP234" s="10"/>
      <c r="AQ234" s="11">
        <v>13</v>
      </c>
      <c r="AR234" s="4"/>
      <c r="AS234" s="10"/>
      <c r="AT234" s="10"/>
      <c r="AU234" s="10"/>
      <c r="AV234" s="10"/>
      <c r="AW234" s="10"/>
      <c r="AX234" s="10"/>
      <c r="AY234" s="10"/>
      <c r="AZ234" s="10"/>
      <c r="BA234" s="10"/>
      <c r="BB234" s="10"/>
      <c r="BC234" s="10"/>
      <c r="BD234" s="10"/>
    </row>
    <row r="235" spans="1:56" ht="30" x14ac:dyDescent="0.25">
      <c r="A235" s="4" t="s">
        <v>592</v>
      </c>
      <c r="B235" s="4"/>
      <c r="C235" s="4" t="s">
        <v>46</v>
      </c>
      <c r="D235" s="4" t="s">
        <v>47</v>
      </c>
      <c r="E235" s="5" t="s">
        <v>34</v>
      </c>
      <c r="F235" s="4" t="s">
        <v>632</v>
      </c>
      <c r="G235" s="4" t="s">
        <v>26</v>
      </c>
      <c r="H235" s="4" t="s">
        <v>1053</v>
      </c>
      <c r="I235" s="12"/>
      <c r="J235" s="12"/>
      <c r="K235" s="12"/>
      <c r="L235" s="12"/>
      <c r="M235" s="64"/>
      <c r="N235" s="12"/>
      <c r="O235" s="12"/>
      <c r="P235" s="12"/>
      <c r="Q235" s="12"/>
      <c r="R235" s="12"/>
      <c r="S235" s="12"/>
      <c r="T235" s="12"/>
      <c r="U235" s="12"/>
      <c r="V235" s="12"/>
      <c r="W235" s="7"/>
      <c r="X235" s="12"/>
      <c r="Y235" s="7"/>
      <c r="Z235" s="7"/>
      <c r="AA235" s="7"/>
      <c r="AB235" s="8">
        <f>1/(1*10^-5)</f>
        <v>99999.999999999985</v>
      </c>
      <c r="AC235" s="8"/>
      <c r="AD235" s="4"/>
      <c r="AE235" s="4"/>
      <c r="AF235" s="4"/>
      <c r="AG235" s="4"/>
      <c r="AH235" s="9"/>
      <c r="AI235" s="9"/>
      <c r="AJ235" s="9"/>
      <c r="AK235" s="9" t="s">
        <v>30</v>
      </c>
      <c r="AL235" s="10"/>
      <c r="AM235" s="10"/>
      <c r="AN235" s="10"/>
      <c r="AO235" s="10"/>
      <c r="AP235" s="10"/>
      <c r="AQ235" s="11">
        <v>13</v>
      </c>
      <c r="AR235" s="4"/>
      <c r="AS235" s="10"/>
      <c r="AT235" s="10"/>
      <c r="AU235" s="10"/>
      <c r="AV235" s="10"/>
      <c r="AW235" s="10"/>
      <c r="AX235" s="10"/>
      <c r="AY235" s="10"/>
      <c r="AZ235" s="10"/>
      <c r="BA235" s="10"/>
      <c r="BB235" s="10"/>
      <c r="BC235" s="10"/>
      <c r="BD235" s="10"/>
    </row>
    <row r="236" spans="1:56" ht="30" x14ac:dyDescent="0.25">
      <c r="A236" s="4" t="s">
        <v>591</v>
      </c>
      <c r="B236" s="4"/>
      <c r="C236" s="4" t="s">
        <v>46</v>
      </c>
      <c r="D236" s="4" t="s">
        <v>47</v>
      </c>
      <c r="E236" s="5" t="s">
        <v>34</v>
      </c>
      <c r="F236" s="4" t="s">
        <v>632</v>
      </c>
      <c r="G236" s="4" t="s">
        <v>26</v>
      </c>
      <c r="H236" s="4" t="s">
        <v>635</v>
      </c>
      <c r="I236" s="12"/>
      <c r="J236" s="12"/>
      <c r="K236" s="12"/>
      <c r="L236" s="12"/>
      <c r="M236" s="64"/>
      <c r="N236" s="12"/>
      <c r="O236" s="12"/>
      <c r="P236" s="12"/>
      <c r="Q236" s="12"/>
      <c r="R236" s="12"/>
      <c r="S236" s="12"/>
      <c r="T236" s="12"/>
      <c r="U236" s="12"/>
      <c r="V236" s="12"/>
      <c r="W236" s="7"/>
      <c r="X236" s="12"/>
      <c r="Y236" s="7"/>
      <c r="Z236" s="7"/>
      <c r="AA236" s="7"/>
      <c r="AB236" s="8">
        <f>1/(6*10^-6)</f>
        <v>166666.66666666666</v>
      </c>
      <c r="AC236" s="8"/>
      <c r="AD236" s="4"/>
      <c r="AE236" s="4"/>
      <c r="AF236" s="4"/>
      <c r="AG236" s="4"/>
      <c r="AH236" s="9"/>
      <c r="AI236" s="9"/>
      <c r="AJ236" s="9"/>
      <c r="AK236" s="9" t="s">
        <v>30</v>
      </c>
      <c r="AL236" s="10"/>
      <c r="AM236" s="10"/>
      <c r="AN236" s="10"/>
      <c r="AO236" s="10"/>
      <c r="AP236" s="10"/>
      <c r="AQ236" s="11">
        <v>13</v>
      </c>
      <c r="AR236" s="4"/>
      <c r="AS236" s="10"/>
      <c r="AT236" s="10"/>
      <c r="AU236" s="10"/>
      <c r="AV236" s="10"/>
      <c r="AW236" s="10"/>
      <c r="AX236" s="10"/>
      <c r="AY236" s="10"/>
      <c r="AZ236" s="10"/>
      <c r="BA236" s="10"/>
      <c r="BB236" s="10"/>
      <c r="BC236" s="10"/>
      <c r="BD236" s="10"/>
    </row>
    <row r="237" spans="1:56" ht="30" x14ac:dyDescent="0.25">
      <c r="A237" s="4" t="s">
        <v>617</v>
      </c>
      <c r="B237" s="4"/>
      <c r="C237" s="4" t="s">
        <v>46</v>
      </c>
      <c r="D237" s="4" t="s">
        <v>47</v>
      </c>
      <c r="E237" s="5" t="s">
        <v>34</v>
      </c>
      <c r="F237" s="4" t="s">
        <v>632</v>
      </c>
      <c r="G237" s="4" t="s">
        <v>26</v>
      </c>
      <c r="H237" s="4" t="s">
        <v>637</v>
      </c>
      <c r="I237" s="12"/>
      <c r="J237" s="12"/>
      <c r="K237" s="12"/>
      <c r="L237" s="12"/>
      <c r="M237" s="64"/>
      <c r="N237" s="12"/>
      <c r="O237" s="12"/>
      <c r="P237" s="12"/>
      <c r="Q237" s="12"/>
      <c r="R237" s="12"/>
      <c r="S237" s="12"/>
      <c r="T237" s="12"/>
      <c r="U237" s="12"/>
      <c r="V237" s="12"/>
      <c r="W237" s="7"/>
      <c r="X237" s="12"/>
      <c r="Y237" s="7"/>
      <c r="Z237" s="7"/>
      <c r="AA237" s="7"/>
      <c r="AB237" s="8">
        <f>1/(1*10^-5)</f>
        <v>99999.999999999985</v>
      </c>
      <c r="AC237" s="8"/>
      <c r="AD237" s="4"/>
      <c r="AE237" s="4"/>
      <c r="AF237" s="4"/>
      <c r="AG237" s="4"/>
      <c r="AH237" s="9"/>
      <c r="AI237" s="9"/>
      <c r="AJ237" s="9"/>
      <c r="AK237" s="9" t="s">
        <v>30</v>
      </c>
      <c r="AL237" s="10"/>
      <c r="AM237" s="10"/>
      <c r="AN237" s="10"/>
      <c r="AO237" s="10"/>
      <c r="AP237" s="10"/>
      <c r="AQ237" s="11">
        <v>13</v>
      </c>
      <c r="AR237" s="4"/>
      <c r="AS237" s="10"/>
      <c r="AT237" s="10"/>
      <c r="AU237" s="10"/>
      <c r="AV237" s="10"/>
      <c r="AW237" s="10"/>
      <c r="AX237" s="10"/>
      <c r="AY237" s="10"/>
      <c r="AZ237" s="10"/>
      <c r="BA237" s="10"/>
      <c r="BB237" s="10"/>
      <c r="BC237" s="10"/>
      <c r="BD237" s="10"/>
    </row>
    <row r="238" spans="1:56" ht="30" x14ac:dyDescent="0.25">
      <c r="A238" s="4" t="s">
        <v>618</v>
      </c>
      <c r="B238" s="4"/>
      <c r="C238" s="4" t="s">
        <v>46</v>
      </c>
      <c r="D238" s="4" t="s">
        <v>47</v>
      </c>
      <c r="E238" s="5" t="s">
        <v>34</v>
      </c>
      <c r="F238" s="4" t="s">
        <v>632</v>
      </c>
      <c r="G238" s="4" t="s">
        <v>26</v>
      </c>
      <c r="H238" s="4" t="s">
        <v>638</v>
      </c>
      <c r="I238" s="12"/>
      <c r="J238" s="12"/>
      <c r="K238" s="12"/>
      <c r="L238" s="12"/>
      <c r="M238" s="64"/>
      <c r="N238" s="12"/>
      <c r="O238" s="12"/>
      <c r="P238" s="12"/>
      <c r="Q238" s="12"/>
      <c r="R238" s="12"/>
      <c r="S238" s="12"/>
      <c r="T238" s="12"/>
      <c r="U238" s="12"/>
      <c r="V238" s="12"/>
      <c r="W238" s="7"/>
      <c r="X238" s="12"/>
      <c r="Y238" s="7"/>
      <c r="Z238" s="7"/>
      <c r="AA238" s="7"/>
      <c r="AB238" s="8">
        <f>1/(1*10^-5)</f>
        <v>99999.999999999985</v>
      </c>
      <c r="AC238" s="8"/>
      <c r="AD238" s="4"/>
      <c r="AE238" s="4"/>
      <c r="AF238" s="4"/>
      <c r="AG238" s="4"/>
      <c r="AH238" s="9"/>
      <c r="AI238" s="9"/>
      <c r="AJ238" s="9"/>
      <c r="AK238" s="9" t="s">
        <v>30</v>
      </c>
      <c r="AL238" s="10"/>
      <c r="AM238" s="10"/>
      <c r="AN238" s="10"/>
      <c r="AO238" s="10"/>
      <c r="AP238" s="10"/>
      <c r="AQ238" s="11">
        <v>13</v>
      </c>
      <c r="AR238" s="4"/>
      <c r="AS238" s="10"/>
      <c r="AT238" s="10"/>
      <c r="AU238" s="10"/>
      <c r="AV238" s="10"/>
      <c r="AW238" s="10"/>
      <c r="AX238" s="10"/>
      <c r="AY238" s="10"/>
      <c r="AZ238" s="10"/>
      <c r="BA238" s="10"/>
      <c r="BB238" s="10"/>
      <c r="BC238" s="10"/>
      <c r="BD238" s="10"/>
    </row>
    <row r="239" spans="1:56" ht="30" x14ac:dyDescent="0.25">
      <c r="A239" s="4" t="s">
        <v>631</v>
      </c>
      <c r="B239" s="4"/>
      <c r="C239" s="4" t="s">
        <v>46</v>
      </c>
      <c r="D239" s="4" t="s">
        <v>47</v>
      </c>
      <c r="E239" s="5" t="s">
        <v>34</v>
      </c>
      <c r="F239" s="4" t="s">
        <v>632</v>
      </c>
      <c r="G239" s="4" t="s">
        <v>26</v>
      </c>
      <c r="H239" s="4" t="s">
        <v>639</v>
      </c>
      <c r="I239" s="12"/>
      <c r="J239" s="12"/>
      <c r="K239" s="12"/>
      <c r="L239" s="12"/>
      <c r="M239" s="64"/>
      <c r="N239" s="12"/>
      <c r="O239" s="12"/>
      <c r="P239" s="12"/>
      <c r="Q239" s="12"/>
      <c r="R239" s="12"/>
      <c r="S239" s="12"/>
      <c r="T239" s="12"/>
      <c r="U239" s="12"/>
      <c r="V239" s="12"/>
      <c r="W239" s="7"/>
      <c r="X239" s="12"/>
      <c r="Y239" s="7"/>
      <c r="Z239" s="7"/>
      <c r="AA239" s="7"/>
      <c r="AB239" s="8">
        <f>1/(5.99*10^-6)</f>
        <v>166944.9081803005</v>
      </c>
      <c r="AC239" s="8"/>
      <c r="AD239" s="4"/>
      <c r="AE239" s="4"/>
      <c r="AF239" s="4"/>
      <c r="AG239" s="4"/>
      <c r="AH239" s="9"/>
      <c r="AI239" s="9"/>
      <c r="AJ239" s="9"/>
      <c r="AK239" s="9" t="s">
        <v>30</v>
      </c>
      <c r="AL239" s="10"/>
      <c r="AM239" s="10"/>
      <c r="AN239" s="10"/>
      <c r="AO239" s="10"/>
      <c r="AP239" s="10"/>
      <c r="AQ239" s="11">
        <v>13</v>
      </c>
      <c r="AR239" s="4"/>
      <c r="AS239" s="10"/>
      <c r="AT239" s="10"/>
      <c r="AU239" s="10"/>
      <c r="AV239" s="10"/>
      <c r="AW239" s="10"/>
      <c r="AX239" s="10"/>
      <c r="AY239" s="10"/>
      <c r="AZ239" s="10"/>
      <c r="BA239" s="10"/>
      <c r="BB239" s="10"/>
      <c r="BC239" s="10"/>
      <c r="BD239" s="10"/>
    </row>
    <row r="240" spans="1:56" ht="45" x14ac:dyDescent="0.25">
      <c r="A240" s="4" t="s">
        <v>81</v>
      </c>
      <c r="B240" s="4"/>
      <c r="C240" s="4" t="s">
        <v>46</v>
      </c>
      <c r="D240" s="4" t="s">
        <v>47</v>
      </c>
      <c r="E240" s="5" t="s">
        <v>34</v>
      </c>
      <c r="F240" s="4" t="s">
        <v>640</v>
      </c>
      <c r="G240" s="4" t="s">
        <v>26</v>
      </c>
      <c r="H240" s="4" t="s">
        <v>1057</v>
      </c>
      <c r="I240" s="12"/>
      <c r="J240" s="12"/>
      <c r="K240" s="12"/>
      <c r="L240" s="12"/>
      <c r="M240" s="64"/>
      <c r="N240" s="12"/>
      <c r="O240" s="12"/>
      <c r="P240" s="12"/>
      <c r="Q240" s="12"/>
      <c r="R240" s="12"/>
      <c r="S240" s="12"/>
      <c r="T240" s="12"/>
      <c r="U240" s="12"/>
      <c r="V240" s="12"/>
      <c r="W240" s="7"/>
      <c r="X240" s="12"/>
      <c r="Y240" s="7" t="str">
        <f t="shared" ref="Y240:Y254" si="2">$Y$88</f>
        <v>4-5
4
6</v>
      </c>
      <c r="Z240" s="7"/>
      <c r="AA240" s="7"/>
      <c r="AB240" s="8">
        <f>1/(8*10^-6)</f>
        <v>125000</v>
      </c>
      <c r="AC240" s="7"/>
      <c r="AD240" s="4"/>
      <c r="AE240" s="4"/>
      <c r="AF240" s="4"/>
      <c r="AG240" s="4"/>
      <c r="AH240" s="9"/>
      <c r="AI240" s="9"/>
      <c r="AJ240" s="9"/>
      <c r="AK240" s="9" t="s">
        <v>30</v>
      </c>
      <c r="AL240" s="10"/>
      <c r="AM240" s="10"/>
      <c r="AN240" s="10"/>
      <c r="AO240" s="10"/>
      <c r="AP240" s="10"/>
      <c r="AQ240" s="11">
        <v>13</v>
      </c>
      <c r="AR240" s="4"/>
      <c r="AS240" s="10"/>
      <c r="AT240" s="10"/>
      <c r="AU240" s="10"/>
      <c r="AV240" s="10"/>
      <c r="AW240" s="10"/>
      <c r="AX240" s="10"/>
      <c r="AY240" s="10"/>
      <c r="AZ240" s="10"/>
      <c r="BA240" s="10"/>
      <c r="BB240" s="10"/>
      <c r="BC240" s="10"/>
      <c r="BD240" s="10"/>
    </row>
    <row r="241" spans="1:56" ht="45" x14ac:dyDescent="0.25">
      <c r="A241" s="4" t="s">
        <v>641</v>
      </c>
      <c r="B241" s="4"/>
      <c r="C241" s="4" t="s">
        <v>46</v>
      </c>
      <c r="D241" s="4" t="s">
        <v>47</v>
      </c>
      <c r="E241" s="5" t="s">
        <v>34</v>
      </c>
      <c r="F241" s="4" t="s">
        <v>640</v>
      </c>
      <c r="G241" s="4" t="s">
        <v>26</v>
      </c>
      <c r="H241" s="4" t="s">
        <v>1057</v>
      </c>
      <c r="I241" s="12"/>
      <c r="J241" s="12"/>
      <c r="K241" s="12"/>
      <c r="L241" s="12"/>
      <c r="M241" s="64"/>
      <c r="N241" s="12"/>
      <c r="O241" s="12"/>
      <c r="P241" s="12"/>
      <c r="Q241" s="12"/>
      <c r="R241" s="12"/>
      <c r="S241" s="12"/>
      <c r="T241" s="12"/>
      <c r="U241" s="12"/>
      <c r="V241" s="12"/>
      <c r="W241" s="7"/>
      <c r="X241" s="12"/>
      <c r="Y241" s="7" t="str">
        <f t="shared" si="2"/>
        <v>4-5
4
6</v>
      </c>
      <c r="Z241" s="7"/>
      <c r="AA241" s="7"/>
      <c r="AB241" s="8">
        <f>1/(1.7*10^-5)</f>
        <v>58823.529411764706</v>
      </c>
      <c r="AC241" s="7"/>
      <c r="AD241" s="4"/>
      <c r="AE241" s="4"/>
      <c r="AF241" s="4"/>
      <c r="AG241" s="4"/>
      <c r="AH241" s="9"/>
      <c r="AI241" s="9"/>
      <c r="AJ241" s="9"/>
      <c r="AK241" s="9" t="s">
        <v>30</v>
      </c>
      <c r="AL241" s="10"/>
      <c r="AM241" s="10"/>
      <c r="AN241" s="10"/>
      <c r="AO241" s="10"/>
      <c r="AP241" s="10"/>
      <c r="AQ241" s="11">
        <v>13</v>
      </c>
      <c r="AR241" s="4"/>
      <c r="AS241" s="10"/>
      <c r="AT241" s="10"/>
      <c r="AU241" s="10"/>
      <c r="AV241" s="10"/>
      <c r="AW241" s="10"/>
      <c r="AX241" s="10"/>
      <c r="AY241" s="10"/>
      <c r="AZ241" s="10"/>
      <c r="BA241" s="10"/>
      <c r="BB241" s="10"/>
      <c r="BC241" s="10"/>
      <c r="BD241" s="10"/>
    </row>
    <row r="242" spans="1:56" ht="45" x14ac:dyDescent="0.25">
      <c r="A242" s="4" t="s">
        <v>614</v>
      </c>
      <c r="B242" s="4"/>
      <c r="C242" s="4" t="s">
        <v>46</v>
      </c>
      <c r="D242" s="4" t="s">
        <v>47</v>
      </c>
      <c r="E242" s="5" t="s">
        <v>34</v>
      </c>
      <c r="F242" s="4" t="s">
        <v>640</v>
      </c>
      <c r="G242" s="4" t="s">
        <v>26</v>
      </c>
      <c r="H242" s="4" t="s">
        <v>642</v>
      </c>
      <c r="I242" s="12"/>
      <c r="J242" s="12"/>
      <c r="K242" s="12"/>
      <c r="L242" s="12"/>
      <c r="M242" s="64"/>
      <c r="N242" s="12"/>
      <c r="O242" s="12"/>
      <c r="P242" s="12"/>
      <c r="Q242" s="12"/>
      <c r="R242" s="12"/>
      <c r="S242" s="12"/>
      <c r="T242" s="12"/>
      <c r="U242" s="12"/>
      <c r="V242" s="12"/>
      <c r="W242" s="7"/>
      <c r="X242" s="12"/>
      <c r="Y242" s="7" t="str">
        <f t="shared" si="2"/>
        <v>4-5
4
6</v>
      </c>
      <c r="Z242" s="7"/>
      <c r="AA242" s="7"/>
      <c r="AB242" s="8">
        <f>1/(4.67*10^-5)</f>
        <v>21413.276231263382</v>
      </c>
      <c r="AC242" s="7"/>
      <c r="AD242" s="4"/>
      <c r="AE242" s="4"/>
      <c r="AF242" s="4"/>
      <c r="AG242" s="4"/>
      <c r="AH242" s="9"/>
      <c r="AI242" s="9"/>
      <c r="AJ242" s="9"/>
      <c r="AK242" s="9" t="s">
        <v>30</v>
      </c>
      <c r="AL242" s="10"/>
      <c r="AM242" s="10"/>
      <c r="AN242" s="10"/>
      <c r="AO242" s="10"/>
      <c r="AP242" s="10"/>
      <c r="AQ242" s="11">
        <v>13</v>
      </c>
      <c r="AR242" s="4"/>
      <c r="AS242" s="10"/>
      <c r="AT242" s="10"/>
      <c r="AU242" s="10"/>
      <c r="AV242" s="10"/>
      <c r="AW242" s="10"/>
      <c r="AX242" s="10"/>
      <c r="AY242" s="10"/>
      <c r="AZ242" s="10"/>
      <c r="BA242" s="10"/>
      <c r="BB242" s="10"/>
      <c r="BC242" s="10"/>
      <c r="BD242" s="10"/>
    </row>
    <row r="243" spans="1:56" ht="45" x14ac:dyDescent="0.25">
      <c r="A243" s="4" t="s">
        <v>599</v>
      </c>
      <c r="B243" s="4"/>
      <c r="C243" s="4" t="s">
        <v>46</v>
      </c>
      <c r="D243" s="4" t="s">
        <v>47</v>
      </c>
      <c r="E243" s="5" t="s">
        <v>34</v>
      </c>
      <c r="F243" s="4" t="s">
        <v>640</v>
      </c>
      <c r="G243" s="4" t="s">
        <v>26</v>
      </c>
      <c r="H243" s="4" t="s">
        <v>643</v>
      </c>
      <c r="I243" s="12"/>
      <c r="J243" s="12"/>
      <c r="K243" s="12"/>
      <c r="L243" s="12"/>
      <c r="M243" s="64"/>
      <c r="N243" s="12"/>
      <c r="O243" s="12"/>
      <c r="P243" s="12"/>
      <c r="Q243" s="12"/>
      <c r="R243" s="12"/>
      <c r="S243" s="12"/>
      <c r="T243" s="12"/>
      <c r="U243" s="12"/>
      <c r="V243" s="12"/>
      <c r="W243" s="7"/>
      <c r="X243" s="12"/>
      <c r="Y243" s="7" t="str">
        <f t="shared" si="2"/>
        <v>4-5
4
6</v>
      </c>
      <c r="Z243" s="7"/>
      <c r="AA243" s="7"/>
      <c r="AB243" s="8">
        <f>1/(5*10^-6)</f>
        <v>200000.00000000003</v>
      </c>
      <c r="AC243" s="7"/>
      <c r="AD243" s="4"/>
      <c r="AE243" s="4"/>
      <c r="AF243" s="4"/>
      <c r="AG243" s="4"/>
      <c r="AH243" s="9"/>
      <c r="AI243" s="9"/>
      <c r="AJ243" s="9"/>
      <c r="AK243" s="9" t="s">
        <v>30</v>
      </c>
      <c r="AL243" s="10"/>
      <c r="AM243" s="10"/>
      <c r="AN243" s="10"/>
      <c r="AO243" s="10"/>
      <c r="AP243" s="10"/>
      <c r="AQ243" s="11">
        <v>13</v>
      </c>
      <c r="AR243" s="4"/>
      <c r="AS243" s="10"/>
      <c r="AT243" s="10"/>
      <c r="AU243" s="10"/>
      <c r="AV243" s="10"/>
      <c r="AW243" s="10"/>
      <c r="AX243" s="10"/>
      <c r="AY243" s="10"/>
      <c r="AZ243" s="10"/>
      <c r="BA243" s="10"/>
      <c r="BB243" s="10"/>
      <c r="BC243" s="10"/>
      <c r="BD243" s="10"/>
    </row>
    <row r="244" spans="1:56" ht="45" x14ac:dyDescent="0.25">
      <c r="A244" s="4" t="s">
        <v>583</v>
      </c>
      <c r="B244" s="4"/>
      <c r="C244" s="4" t="s">
        <v>46</v>
      </c>
      <c r="D244" s="4" t="s">
        <v>47</v>
      </c>
      <c r="E244" s="5" t="s">
        <v>34</v>
      </c>
      <c r="F244" s="4" t="s">
        <v>640</v>
      </c>
      <c r="G244" s="4" t="s">
        <v>26</v>
      </c>
      <c r="H244" s="4" t="s">
        <v>644</v>
      </c>
      <c r="I244" s="12"/>
      <c r="J244" s="12"/>
      <c r="K244" s="12"/>
      <c r="L244" s="12"/>
      <c r="M244" s="64"/>
      <c r="N244" s="12"/>
      <c r="O244" s="12"/>
      <c r="P244" s="12"/>
      <c r="Q244" s="12"/>
      <c r="R244" s="12"/>
      <c r="S244" s="12"/>
      <c r="T244" s="12"/>
      <c r="U244" s="12"/>
      <c r="V244" s="12"/>
      <c r="W244" s="7"/>
      <c r="X244" s="12"/>
      <c r="Y244" s="7" t="str">
        <f t="shared" si="2"/>
        <v>4-5
4
6</v>
      </c>
      <c r="Z244" s="7"/>
      <c r="AA244" s="7"/>
      <c r="AB244" s="8">
        <f>1/(5.99*10^-6)</f>
        <v>166944.9081803005</v>
      </c>
      <c r="AC244" s="7"/>
      <c r="AD244" s="4"/>
      <c r="AE244" s="4"/>
      <c r="AF244" s="4"/>
      <c r="AG244" s="4"/>
      <c r="AH244" s="9"/>
      <c r="AI244" s="9"/>
      <c r="AJ244" s="9"/>
      <c r="AK244" s="9" t="s">
        <v>30</v>
      </c>
      <c r="AL244" s="10"/>
      <c r="AM244" s="10"/>
      <c r="AN244" s="10"/>
      <c r="AO244" s="10"/>
      <c r="AP244" s="10"/>
      <c r="AQ244" s="11">
        <v>13</v>
      </c>
      <c r="AR244" s="4"/>
      <c r="AS244" s="10"/>
      <c r="AT244" s="10"/>
      <c r="AU244" s="10"/>
      <c r="AV244" s="10"/>
      <c r="AW244" s="10"/>
      <c r="AX244" s="10"/>
      <c r="AY244" s="10"/>
      <c r="AZ244" s="10"/>
      <c r="BA244" s="10"/>
      <c r="BB244" s="10"/>
      <c r="BC244" s="10"/>
      <c r="BD244" s="10"/>
    </row>
    <row r="245" spans="1:56" ht="45" x14ac:dyDescent="0.25">
      <c r="A245" s="4" t="s">
        <v>586</v>
      </c>
      <c r="B245" s="4"/>
      <c r="C245" s="4" t="s">
        <v>46</v>
      </c>
      <c r="D245" s="4" t="s">
        <v>47</v>
      </c>
      <c r="E245" s="5" t="s">
        <v>34</v>
      </c>
      <c r="F245" s="4" t="s">
        <v>640</v>
      </c>
      <c r="G245" s="4" t="s">
        <v>26</v>
      </c>
      <c r="H245" s="4" t="s">
        <v>642</v>
      </c>
      <c r="I245" s="12"/>
      <c r="J245" s="12"/>
      <c r="K245" s="12"/>
      <c r="L245" s="12"/>
      <c r="M245" s="64"/>
      <c r="N245" s="12"/>
      <c r="O245" s="12"/>
      <c r="P245" s="12"/>
      <c r="Q245" s="12"/>
      <c r="R245" s="12"/>
      <c r="S245" s="12"/>
      <c r="T245" s="12"/>
      <c r="U245" s="12"/>
      <c r="V245" s="12"/>
      <c r="W245" s="7"/>
      <c r="X245" s="12"/>
      <c r="Y245" s="7" t="str">
        <f t="shared" si="2"/>
        <v>4-5
4
6</v>
      </c>
      <c r="Z245" s="7"/>
      <c r="AA245" s="7"/>
      <c r="AB245" s="8">
        <f>1/(1*10^-5)</f>
        <v>99999.999999999985</v>
      </c>
      <c r="AC245" s="7"/>
      <c r="AD245" s="4"/>
      <c r="AE245" s="4"/>
      <c r="AF245" s="4"/>
      <c r="AG245" s="4"/>
      <c r="AH245" s="9"/>
      <c r="AI245" s="9"/>
      <c r="AJ245" s="9"/>
      <c r="AK245" s="9" t="s">
        <v>30</v>
      </c>
      <c r="AL245" s="10"/>
      <c r="AM245" s="10"/>
      <c r="AN245" s="10"/>
      <c r="AO245" s="10"/>
      <c r="AP245" s="10"/>
      <c r="AQ245" s="11">
        <v>13</v>
      </c>
      <c r="AR245" s="4"/>
      <c r="AS245" s="10"/>
      <c r="AT245" s="10"/>
      <c r="AU245" s="10"/>
      <c r="AV245" s="10"/>
      <c r="AW245" s="10"/>
      <c r="AX245" s="10"/>
      <c r="AY245" s="10"/>
      <c r="AZ245" s="10"/>
      <c r="BA245" s="10"/>
      <c r="BB245" s="10"/>
      <c r="BC245" s="10"/>
      <c r="BD245" s="10"/>
    </row>
    <row r="246" spans="1:56" ht="45" x14ac:dyDescent="0.25">
      <c r="A246" s="4" t="s">
        <v>587</v>
      </c>
      <c r="B246" s="4"/>
      <c r="C246" s="4" t="s">
        <v>46</v>
      </c>
      <c r="D246" s="4" t="s">
        <v>47</v>
      </c>
      <c r="E246" s="5" t="s">
        <v>34</v>
      </c>
      <c r="F246" s="4" t="s">
        <v>640</v>
      </c>
      <c r="G246" s="4" t="s">
        <v>26</v>
      </c>
      <c r="H246" s="4" t="s">
        <v>642</v>
      </c>
      <c r="I246" s="12"/>
      <c r="J246" s="12"/>
      <c r="K246" s="12"/>
      <c r="L246" s="12"/>
      <c r="M246" s="64"/>
      <c r="N246" s="12"/>
      <c r="O246" s="12"/>
      <c r="P246" s="12"/>
      <c r="Q246" s="12"/>
      <c r="R246" s="12"/>
      <c r="S246" s="12"/>
      <c r="T246" s="12"/>
      <c r="U246" s="12"/>
      <c r="V246" s="12"/>
      <c r="W246" s="7"/>
      <c r="X246" s="12"/>
      <c r="Y246" s="7" t="str">
        <f t="shared" si="2"/>
        <v>4-5
4
6</v>
      </c>
      <c r="Z246" s="7"/>
      <c r="AA246" s="7"/>
      <c r="AB246" s="8">
        <f>1/(1.5*10^-5)</f>
        <v>66666.666666666657</v>
      </c>
      <c r="AC246" s="7"/>
      <c r="AD246" s="4"/>
      <c r="AE246" s="4"/>
      <c r="AF246" s="4"/>
      <c r="AG246" s="4"/>
      <c r="AH246" s="9"/>
      <c r="AI246" s="9"/>
      <c r="AJ246" s="9"/>
      <c r="AK246" s="9" t="s">
        <v>30</v>
      </c>
      <c r="AL246" s="10"/>
      <c r="AM246" s="10"/>
      <c r="AN246" s="10"/>
      <c r="AO246" s="10"/>
      <c r="AP246" s="10"/>
      <c r="AQ246" s="11">
        <v>13</v>
      </c>
      <c r="AR246" s="4"/>
      <c r="AS246" s="10"/>
      <c r="AT246" s="10"/>
      <c r="AU246" s="10"/>
      <c r="AV246" s="10"/>
      <c r="AW246" s="10"/>
      <c r="AX246" s="10"/>
      <c r="AY246" s="10"/>
      <c r="AZ246" s="10"/>
      <c r="BA246" s="10"/>
      <c r="BB246" s="10"/>
      <c r="BC246" s="10"/>
      <c r="BD246" s="10"/>
    </row>
    <row r="247" spans="1:56" ht="45" x14ac:dyDescent="0.25">
      <c r="A247" s="4" t="s">
        <v>588</v>
      </c>
      <c r="B247" s="4"/>
      <c r="C247" s="4" t="s">
        <v>46</v>
      </c>
      <c r="D247" s="4" t="s">
        <v>47</v>
      </c>
      <c r="E247" s="5" t="s">
        <v>34</v>
      </c>
      <c r="F247" s="4" t="s">
        <v>640</v>
      </c>
      <c r="G247" s="4" t="s">
        <v>26</v>
      </c>
      <c r="H247" s="4" t="s">
        <v>1057</v>
      </c>
      <c r="I247" s="12"/>
      <c r="J247" s="12"/>
      <c r="K247" s="12"/>
      <c r="L247" s="12"/>
      <c r="M247" s="64"/>
      <c r="N247" s="12"/>
      <c r="O247" s="12"/>
      <c r="P247" s="12"/>
      <c r="Q247" s="12"/>
      <c r="R247" s="12"/>
      <c r="S247" s="12"/>
      <c r="T247" s="12"/>
      <c r="U247" s="12"/>
      <c r="V247" s="12"/>
      <c r="W247" s="7"/>
      <c r="X247" s="12"/>
      <c r="Y247" s="7" t="str">
        <f t="shared" si="2"/>
        <v>4-5
4
6</v>
      </c>
      <c r="Z247" s="7"/>
      <c r="AA247" s="7"/>
      <c r="AB247" s="8">
        <f>1/(1*10^-5)</f>
        <v>99999.999999999985</v>
      </c>
      <c r="AC247" s="7"/>
      <c r="AD247" s="4"/>
      <c r="AE247" s="4"/>
      <c r="AF247" s="4"/>
      <c r="AG247" s="4"/>
      <c r="AH247" s="9"/>
      <c r="AI247" s="9"/>
      <c r="AJ247" s="9"/>
      <c r="AK247" s="9" t="s">
        <v>30</v>
      </c>
      <c r="AL247" s="10"/>
      <c r="AM247" s="10"/>
      <c r="AN247" s="10"/>
      <c r="AO247" s="10"/>
      <c r="AP247" s="10"/>
      <c r="AQ247" s="11">
        <v>13</v>
      </c>
      <c r="AR247" s="4"/>
      <c r="AS247" s="10"/>
      <c r="AT247" s="10"/>
      <c r="AU247" s="10"/>
      <c r="AV247" s="10"/>
      <c r="AW247" s="10"/>
      <c r="AX247" s="10"/>
      <c r="AY247" s="10"/>
      <c r="AZ247" s="10"/>
      <c r="BA247" s="10"/>
      <c r="BB247" s="10"/>
      <c r="BC247" s="10"/>
      <c r="BD247" s="10"/>
    </row>
    <row r="248" spans="1:56" ht="45" x14ac:dyDescent="0.25">
      <c r="A248" s="4" t="s">
        <v>590</v>
      </c>
      <c r="B248" s="4"/>
      <c r="C248" s="4" t="s">
        <v>46</v>
      </c>
      <c r="D248" s="4" t="s">
        <v>47</v>
      </c>
      <c r="E248" s="5" t="s">
        <v>34</v>
      </c>
      <c r="F248" s="4" t="s">
        <v>640</v>
      </c>
      <c r="G248" s="4" t="s">
        <v>26</v>
      </c>
      <c r="H248" s="4" t="s">
        <v>645</v>
      </c>
      <c r="I248" s="12"/>
      <c r="J248" s="12"/>
      <c r="K248" s="12"/>
      <c r="L248" s="12"/>
      <c r="M248" s="64"/>
      <c r="N248" s="12"/>
      <c r="O248" s="12"/>
      <c r="P248" s="12"/>
      <c r="Q248" s="12"/>
      <c r="R248" s="12"/>
      <c r="S248" s="12"/>
      <c r="T248" s="12"/>
      <c r="U248" s="12"/>
      <c r="V248" s="12"/>
      <c r="W248" s="7"/>
      <c r="X248" s="12"/>
      <c r="Y248" s="7" t="str">
        <f t="shared" si="2"/>
        <v>4-5
4
6</v>
      </c>
      <c r="Z248" s="7"/>
      <c r="AA248" s="7"/>
      <c r="AB248" s="8">
        <f>1/(1*10^-5)</f>
        <v>99999.999999999985</v>
      </c>
      <c r="AC248" s="7"/>
      <c r="AD248" s="4"/>
      <c r="AE248" s="4"/>
      <c r="AF248" s="4"/>
      <c r="AG248" s="4"/>
      <c r="AH248" s="9"/>
      <c r="AI248" s="9"/>
      <c r="AJ248" s="9"/>
      <c r="AK248" s="9" t="s">
        <v>30</v>
      </c>
      <c r="AL248" s="10"/>
      <c r="AM248" s="10"/>
      <c r="AN248" s="10"/>
      <c r="AO248" s="10"/>
      <c r="AP248" s="10"/>
      <c r="AQ248" s="11">
        <v>13</v>
      </c>
      <c r="AR248" s="4"/>
      <c r="AS248" s="10"/>
      <c r="AT248" s="10"/>
      <c r="AU248" s="10"/>
      <c r="AV248" s="10"/>
      <c r="AW248" s="10"/>
      <c r="AX248" s="10"/>
      <c r="AY248" s="10"/>
      <c r="AZ248" s="10"/>
      <c r="BA248" s="10"/>
      <c r="BB248" s="10"/>
      <c r="BC248" s="10"/>
      <c r="BD248" s="10"/>
    </row>
    <row r="249" spans="1:56" ht="45" x14ac:dyDescent="0.25">
      <c r="A249" s="19" t="s">
        <v>646</v>
      </c>
      <c r="B249" s="4"/>
      <c r="C249" s="4" t="s">
        <v>46</v>
      </c>
      <c r="D249" s="4" t="s">
        <v>47</v>
      </c>
      <c r="E249" s="5" t="s">
        <v>34</v>
      </c>
      <c r="F249" s="4" t="s">
        <v>640</v>
      </c>
      <c r="G249" s="4" t="s">
        <v>26</v>
      </c>
      <c r="H249" s="4" t="s">
        <v>642</v>
      </c>
      <c r="I249" s="12"/>
      <c r="J249" s="12"/>
      <c r="K249" s="12"/>
      <c r="L249" s="12"/>
      <c r="M249" s="64"/>
      <c r="N249" s="12"/>
      <c r="O249" s="12"/>
      <c r="P249" s="12"/>
      <c r="Q249" s="12"/>
      <c r="R249" s="12"/>
      <c r="S249" s="12"/>
      <c r="T249" s="12"/>
      <c r="U249" s="12"/>
      <c r="V249" s="12"/>
      <c r="W249" s="7"/>
      <c r="X249" s="12"/>
      <c r="Y249" s="7" t="str">
        <f t="shared" si="2"/>
        <v>4-5
4
6</v>
      </c>
      <c r="Z249" s="7"/>
      <c r="AA249" s="7"/>
      <c r="AB249" s="8"/>
      <c r="AC249" s="7"/>
      <c r="AD249" s="4"/>
      <c r="AE249" s="4"/>
      <c r="AF249" s="4"/>
      <c r="AG249" s="4"/>
      <c r="AH249" s="9"/>
      <c r="AI249" s="9"/>
      <c r="AJ249" s="9"/>
      <c r="AK249" s="9" t="s">
        <v>30</v>
      </c>
      <c r="AL249" s="10"/>
      <c r="AM249" s="10"/>
      <c r="AN249" s="10"/>
      <c r="AO249" s="10"/>
      <c r="AP249" s="10"/>
      <c r="AQ249" s="11">
        <v>13</v>
      </c>
      <c r="AR249" s="4"/>
      <c r="AS249" s="10"/>
      <c r="AT249" s="10"/>
      <c r="AU249" s="10"/>
      <c r="AV249" s="10"/>
      <c r="AW249" s="10"/>
      <c r="AX249" s="10"/>
      <c r="AY249" s="10"/>
      <c r="AZ249" s="10"/>
      <c r="BA249" s="10"/>
      <c r="BB249" s="10"/>
      <c r="BC249" s="10"/>
      <c r="BD249" s="10"/>
    </row>
    <row r="250" spans="1:56" ht="45" x14ac:dyDescent="0.25">
      <c r="A250" s="20" t="s">
        <v>592</v>
      </c>
      <c r="B250" s="23"/>
      <c r="C250" s="4" t="s">
        <v>46</v>
      </c>
      <c r="D250" s="4" t="s">
        <v>47</v>
      </c>
      <c r="E250" s="5" t="s">
        <v>34</v>
      </c>
      <c r="F250" s="4" t="s">
        <v>640</v>
      </c>
      <c r="G250" s="4" t="s">
        <v>26</v>
      </c>
      <c r="H250" s="4" t="s">
        <v>642</v>
      </c>
      <c r="I250" s="12"/>
      <c r="J250" s="12"/>
      <c r="K250" s="12"/>
      <c r="L250" s="12"/>
      <c r="M250" s="64"/>
      <c r="N250" s="12"/>
      <c r="O250" s="12"/>
      <c r="P250" s="12"/>
      <c r="Q250" s="12"/>
      <c r="R250" s="12"/>
      <c r="S250" s="12"/>
      <c r="T250" s="12"/>
      <c r="U250" s="12"/>
      <c r="V250" s="12"/>
      <c r="W250" s="7"/>
      <c r="X250" s="12"/>
      <c r="Y250" s="7" t="str">
        <f t="shared" si="2"/>
        <v>4-5
4
6</v>
      </c>
      <c r="Z250" s="7"/>
      <c r="AA250" s="7"/>
      <c r="AB250" s="8">
        <f>1/(1*10^-5)</f>
        <v>99999.999999999985</v>
      </c>
      <c r="AC250" s="7"/>
      <c r="AD250" s="4"/>
      <c r="AE250" s="4"/>
      <c r="AF250" s="4"/>
      <c r="AG250" s="4"/>
      <c r="AH250" s="9"/>
      <c r="AI250" s="9"/>
      <c r="AJ250" s="9"/>
      <c r="AK250" s="9" t="s">
        <v>30</v>
      </c>
      <c r="AL250" s="10"/>
      <c r="AM250" s="10"/>
      <c r="AN250" s="10"/>
      <c r="AO250" s="10"/>
      <c r="AP250" s="10"/>
      <c r="AQ250" s="11">
        <v>13</v>
      </c>
      <c r="AR250" s="4"/>
      <c r="AS250" s="10"/>
      <c r="AT250" s="10"/>
      <c r="AU250" s="10"/>
      <c r="AV250" s="10"/>
      <c r="AW250" s="10"/>
      <c r="AX250" s="10"/>
      <c r="AY250" s="10"/>
      <c r="AZ250" s="10"/>
      <c r="BA250" s="10"/>
      <c r="BB250" s="10"/>
      <c r="BC250" s="10"/>
      <c r="BD250" s="10"/>
    </row>
    <row r="251" spans="1:56" ht="45" x14ac:dyDescent="0.25">
      <c r="A251" s="19" t="s">
        <v>591</v>
      </c>
      <c r="B251" s="4"/>
      <c r="C251" s="4" t="s">
        <v>46</v>
      </c>
      <c r="D251" s="4" t="s">
        <v>47</v>
      </c>
      <c r="E251" s="5" t="s">
        <v>34</v>
      </c>
      <c r="F251" s="4" t="s">
        <v>640</v>
      </c>
      <c r="G251" s="4" t="s">
        <v>26</v>
      </c>
      <c r="H251" s="4" t="s">
        <v>1057</v>
      </c>
      <c r="I251" s="12"/>
      <c r="J251" s="12"/>
      <c r="K251" s="12"/>
      <c r="L251" s="12"/>
      <c r="M251" s="64"/>
      <c r="N251" s="12"/>
      <c r="O251" s="12"/>
      <c r="P251" s="12"/>
      <c r="Q251" s="12"/>
      <c r="R251" s="12"/>
      <c r="S251" s="12"/>
      <c r="T251" s="12"/>
      <c r="U251" s="12"/>
      <c r="V251" s="12"/>
      <c r="W251" s="7"/>
      <c r="X251" s="12"/>
      <c r="Y251" s="7" t="str">
        <f t="shared" si="2"/>
        <v>4-5
4
6</v>
      </c>
      <c r="Z251" s="7"/>
      <c r="AA251" s="7"/>
      <c r="AB251" s="8">
        <f>1/(6*10^-6)</f>
        <v>166666.66666666666</v>
      </c>
      <c r="AC251" s="7"/>
      <c r="AD251" s="4"/>
      <c r="AE251" s="4"/>
      <c r="AF251" s="4"/>
      <c r="AG251" s="4"/>
      <c r="AH251" s="9"/>
      <c r="AI251" s="9"/>
      <c r="AJ251" s="9"/>
      <c r="AK251" s="9" t="s">
        <v>30</v>
      </c>
      <c r="AL251" s="10"/>
      <c r="AM251" s="10"/>
      <c r="AN251" s="10"/>
      <c r="AO251" s="10"/>
      <c r="AP251" s="10"/>
      <c r="AQ251" s="11">
        <v>13</v>
      </c>
      <c r="AR251" s="4"/>
      <c r="AS251" s="10"/>
      <c r="AT251" s="10"/>
      <c r="AU251" s="10"/>
      <c r="AV251" s="10"/>
      <c r="AW251" s="10"/>
      <c r="AX251" s="10"/>
      <c r="AY251" s="10"/>
      <c r="AZ251" s="10"/>
      <c r="BA251" s="10"/>
      <c r="BB251" s="10"/>
      <c r="BC251" s="10"/>
      <c r="BD251" s="10"/>
    </row>
    <row r="252" spans="1:56" ht="45" x14ac:dyDescent="0.25">
      <c r="A252" s="20" t="s">
        <v>617</v>
      </c>
      <c r="B252" s="23"/>
      <c r="C252" s="4" t="s">
        <v>46</v>
      </c>
      <c r="D252" s="4" t="s">
        <v>47</v>
      </c>
      <c r="E252" s="5" t="s">
        <v>34</v>
      </c>
      <c r="F252" s="4" t="s">
        <v>640</v>
      </c>
      <c r="G252" s="4" t="s">
        <v>26</v>
      </c>
      <c r="H252" s="4" t="s">
        <v>642</v>
      </c>
      <c r="I252" s="12"/>
      <c r="J252" s="12"/>
      <c r="K252" s="12"/>
      <c r="L252" s="12"/>
      <c r="M252" s="64"/>
      <c r="N252" s="12"/>
      <c r="O252" s="12"/>
      <c r="P252" s="12"/>
      <c r="Q252" s="12"/>
      <c r="R252" s="12"/>
      <c r="S252" s="12"/>
      <c r="T252" s="12"/>
      <c r="U252" s="12"/>
      <c r="V252" s="12"/>
      <c r="W252" s="7"/>
      <c r="X252" s="12"/>
      <c r="Y252" s="7" t="str">
        <f t="shared" si="2"/>
        <v>4-5
4
6</v>
      </c>
      <c r="Z252" s="7"/>
      <c r="AA252" s="7"/>
      <c r="AB252" s="8">
        <f>1/(1*10^-5)</f>
        <v>99999.999999999985</v>
      </c>
      <c r="AC252" s="7"/>
      <c r="AD252" s="4"/>
      <c r="AE252" s="4"/>
      <c r="AF252" s="4"/>
      <c r="AG252" s="4"/>
      <c r="AH252" s="9"/>
      <c r="AI252" s="9"/>
      <c r="AJ252" s="9"/>
      <c r="AK252" s="9" t="s">
        <v>30</v>
      </c>
      <c r="AL252" s="10"/>
      <c r="AM252" s="10"/>
      <c r="AN252" s="10"/>
      <c r="AO252" s="10"/>
      <c r="AP252" s="10"/>
      <c r="AQ252" s="11">
        <v>13</v>
      </c>
      <c r="AR252" s="4"/>
      <c r="AS252" s="10"/>
      <c r="AT252" s="10"/>
      <c r="AU252" s="10"/>
      <c r="AV252" s="10"/>
      <c r="AW252" s="10"/>
      <c r="AX252" s="10"/>
      <c r="AY252" s="10"/>
      <c r="AZ252" s="10"/>
      <c r="BA252" s="10"/>
      <c r="BB252" s="10"/>
      <c r="BC252" s="10"/>
      <c r="BD252" s="10"/>
    </row>
    <row r="253" spans="1:56" ht="45" x14ac:dyDescent="0.25">
      <c r="A253" s="19" t="s">
        <v>618</v>
      </c>
      <c r="B253" s="4"/>
      <c r="C253" s="4" t="s">
        <v>46</v>
      </c>
      <c r="D253" s="4" t="s">
        <v>47</v>
      </c>
      <c r="E253" s="5" t="s">
        <v>34</v>
      </c>
      <c r="F253" s="4" t="s">
        <v>640</v>
      </c>
      <c r="G253" s="4" t="s">
        <v>26</v>
      </c>
      <c r="H253" s="4" t="s">
        <v>643</v>
      </c>
      <c r="I253" s="12"/>
      <c r="J253" s="12"/>
      <c r="K253" s="12"/>
      <c r="L253" s="12"/>
      <c r="M253" s="64"/>
      <c r="N253" s="12"/>
      <c r="O253" s="12"/>
      <c r="P253" s="12"/>
      <c r="Q253" s="12"/>
      <c r="R253" s="12"/>
      <c r="S253" s="12"/>
      <c r="T253" s="12"/>
      <c r="U253" s="12"/>
      <c r="V253" s="12"/>
      <c r="W253" s="7"/>
      <c r="X253" s="12"/>
      <c r="Y253" s="7" t="str">
        <f t="shared" si="2"/>
        <v>4-5
4
6</v>
      </c>
      <c r="Z253" s="7"/>
      <c r="AA253" s="7"/>
      <c r="AB253" s="8">
        <f>1/(1*10^-5)</f>
        <v>99999.999999999985</v>
      </c>
      <c r="AC253" s="7"/>
      <c r="AD253" s="4"/>
      <c r="AE253" s="4"/>
      <c r="AF253" s="4"/>
      <c r="AG253" s="4"/>
      <c r="AH253" s="9"/>
      <c r="AI253" s="9"/>
      <c r="AJ253" s="9"/>
      <c r="AK253" s="9" t="s">
        <v>30</v>
      </c>
      <c r="AL253" s="10"/>
      <c r="AM253" s="10"/>
      <c r="AN253" s="10"/>
      <c r="AO253" s="10"/>
      <c r="AP253" s="10"/>
      <c r="AQ253" s="11">
        <v>13</v>
      </c>
      <c r="AR253" s="4"/>
      <c r="AS253" s="10"/>
      <c r="AT253" s="10"/>
      <c r="AU253" s="10"/>
      <c r="AV253" s="10"/>
      <c r="AW253" s="10"/>
      <c r="AX253" s="10"/>
      <c r="AY253" s="10"/>
      <c r="AZ253" s="10"/>
      <c r="BA253" s="10"/>
      <c r="BB253" s="10"/>
      <c r="BC253" s="10"/>
      <c r="BD253" s="10"/>
    </row>
    <row r="254" spans="1:56" ht="45" x14ac:dyDescent="0.25">
      <c r="A254" s="21" t="s">
        <v>647</v>
      </c>
      <c r="B254" s="23"/>
      <c r="C254" s="4" t="s">
        <v>46</v>
      </c>
      <c r="D254" s="4" t="s">
        <v>47</v>
      </c>
      <c r="E254" s="5" t="s">
        <v>34</v>
      </c>
      <c r="F254" s="4" t="s">
        <v>640</v>
      </c>
      <c r="G254" s="4" t="s">
        <v>26</v>
      </c>
      <c r="H254" s="4" t="s">
        <v>643</v>
      </c>
      <c r="I254" s="12"/>
      <c r="J254" s="12"/>
      <c r="K254" s="12"/>
      <c r="L254" s="12"/>
      <c r="M254" s="64"/>
      <c r="N254" s="12"/>
      <c r="O254" s="12"/>
      <c r="P254" s="12"/>
      <c r="Q254" s="12"/>
      <c r="R254" s="12"/>
      <c r="S254" s="12"/>
      <c r="T254" s="12"/>
      <c r="U254" s="12"/>
      <c r="V254" s="12"/>
      <c r="W254" s="7"/>
      <c r="X254" s="12"/>
      <c r="Y254" s="7" t="str">
        <f t="shared" si="2"/>
        <v>4-5
4
6</v>
      </c>
      <c r="Z254" s="7"/>
      <c r="AA254" s="7"/>
      <c r="AB254" s="8">
        <f>1/(7.65*10^-6)</f>
        <v>130718.95424836602</v>
      </c>
      <c r="AC254" s="7"/>
      <c r="AD254" s="4"/>
      <c r="AE254" s="4"/>
      <c r="AF254" s="4"/>
      <c r="AG254" s="4"/>
      <c r="AH254" s="9"/>
      <c r="AI254" s="9"/>
      <c r="AJ254" s="9"/>
      <c r="AK254" s="9" t="s">
        <v>30</v>
      </c>
      <c r="AL254" s="10"/>
      <c r="AM254" s="10"/>
      <c r="AN254" s="10"/>
      <c r="AO254" s="10"/>
      <c r="AP254" s="10"/>
      <c r="AQ254" s="11">
        <v>13</v>
      </c>
      <c r="AR254" s="4"/>
      <c r="AS254" s="10"/>
      <c r="AT254" s="10"/>
      <c r="AU254" s="10"/>
      <c r="AV254" s="10"/>
      <c r="AW254" s="10"/>
      <c r="AX254" s="10"/>
      <c r="AY254" s="10"/>
      <c r="AZ254" s="10"/>
      <c r="BA254" s="10"/>
      <c r="BB254" s="10"/>
      <c r="BC254" s="10"/>
      <c r="BD254" s="10"/>
    </row>
    <row r="255" spans="1:56" ht="30" x14ac:dyDescent="0.25">
      <c r="A255" s="4" t="s">
        <v>633</v>
      </c>
      <c r="B255" s="4"/>
      <c r="C255" s="4" t="s">
        <v>46</v>
      </c>
      <c r="D255" s="4" t="s">
        <v>47</v>
      </c>
      <c r="E255" s="5" t="s">
        <v>34</v>
      </c>
      <c r="F255" s="4" t="s">
        <v>648</v>
      </c>
      <c r="G255" s="4" t="s">
        <v>26</v>
      </c>
      <c r="H255" s="4" t="s">
        <v>1053</v>
      </c>
      <c r="I255" s="12"/>
      <c r="J255" s="12"/>
      <c r="K255" s="12"/>
      <c r="L255" s="12"/>
      <c r="M255" s="64"/>
      <c r="N255" s="12"/>
      <c r="O255" s="12"/>
      <c r="P255" s="12"/>
      <c r="Q255" s="12"/>
      <c r="R255" s="12"/>
      <c r="S255" s="12"/>
      <c r="T255" s="12"/>
      <c r="U255" s="12"/>
      <c r="V255" s="12"/>
      <c r="W255" s="7"/>
      <c r="X255" s="12"/>
      <c r="Y255" s="7"/>
      <c r="Z255" s="7"/>
      <c r="AA255" s="7"/>
      <c r="AB255" s="8">
        <f>1/(4.67*10^-5)</f>
        <v>21413.276231263382</v>
      </c>
      <c r="AC255" s="7"/>
      <c r="AD255" s="4"/>
      <c r="AE255" s="4"/>
      <c r="AF255" s="4"/>
      <c r="AG255" s="4"/>
      <c r="AH255" s="9"/>
      <c r="AI255" s="9"/>
      <c r="AJ255" s="9"/>
      <c r="AK255" s="9" t="s">
        <v>30</v>
      </c>
      <c r="AL255" s="10"/>
      <c r="AM255" s="10"/>
      <c r="AN255" s="10"/>
      <c r="AO255" s="10"/>
      <c r="AP255" s="10"/>
      <c r="AQ255" s="11">
        <v>13</v>
      </c>
      <c r="AR255" s="4"/>
      <c r="AS255" s="10"/>
      <c r="AT255" s="10"/>
      <c r="AU255" s="10"/>
      <c r="AV255" s="10"/>
      <c r="AW255" s="10"/>
      <c r="AX255" s="10"/>
      <c r="AY255" s="10"/>
      <c r="AZ255" s="10"/>
      <c r="BA255" s="10"/>
      <c r="BB255" s="10"/>
      <c r="BC255" s="10"/>
      <c r="BD255" s="10"/>
    </row>
    <row r="256" spans="1:56" ht="30" x14ac:dyDescent="0.25">
      <c r="A256" s="4" t="s">
        <v>599</v>
      </c>
      <c r="B256" s="4"/>
      <c r="C256" s="4" t="s">
        <v>46</v>
      </c>
      <c r="D256" s="4" t="s">
        <v>47</v>
      </c>
      <c r="E256" s="5" t="s">
        <v>34</v>
      </c>
      <c r="F256" s="4" t="s">
        <v>648</v>
      </c>
      <c r="G256" s="4" t="s">
        <v>26</v>
      </c>
      <c r="H256" s="4" t="s">
        <v>637</v>
      </c>
      <c r="I256" s="12"/>
      <c r="J256" s="12"/>
      <c r="K256" s="12"/>
      <c r="L256" s="12"/>
      <c r="M256" s="64"/>
      <c r="N256" s="12"/>
      <c r="O256" s="12"/>
      <c r="P256" s="12"/>
      <c r="Q256" s="12"/>
      <c r="R256" s="12"/>
      <c r="S256" s="12"/>
      <c r="T256" s="12"/>
      <c r="U256" s="12"/>
      <c r="V256" s="12"/>
      <c r="W256" s="7"/>
      <c r="X256" s="12"/>
      <c r="Y256" s="7"/>
      <c r="Z256" s="7"/>
      <c r="AA256" s="7"/>
      <c r="AB256" s="8">
        <f>1/(5*10^-6)</f>
        <v>200000.00000000003</v>
      </c>
      <c r="AC256" s="7"/>
      <c r="AD256" s="4"/>
      <c r="AE256" s="4"/>
      <c r="AF256" s="4"/>
      <c r="AG256" s="4"/>
      <c r="AH256" s="9"/>
      <c r="AI256" s="9"/>
      <c r="AJ256" s="9"/>
      <c r="AK256" s="9" t="s">
        <v>30</v>
      </c>
      <c r="AL256" s="10"/>
      <c r="AM256" s="10"/>
      <c r="AN256" s="10"/>
      <c r="AO256" s="10"/>
      <c r="AP256" s="10"/>
      <c r="AQ256" s="11">
        <v>13</v>
      </c>
      <c r="AR256" s="4"/>
      <c r="AS256" s="10"/>
      <c r="AT256" s="10"/>
      <c r="AU256" s="10"/>
      <c r="AV256" s="10"/>
      <c r="AW256" s="10"/>
      <c r="AX256" s="10"/>
      <c r="AY256" s="10"/>
      <c r="AZ256" s="10"/>
      <c r="BA256" s="10"/>
      <c r="BB256" s="10"/>
      <c r="BC256" s="10"/>
      <c r="BD256" s="10"/>
    </row>
    <row r="257" spans="1:56" ht="30" x14ac:dyDescent="0.25">
      <c r="A257" s="4" t="s">
        <v>583</v>
      </c>
      <c r="B257" s="4"/>
      <c r="C257" s="4" t="s">
        <v>46</v>
      </c>
      <c r="D257" s="4" t="s">
        <v>47</v>
      </c>
      <c r="E257" s="5" t="s">
        <v>34</v>
      </c>
      <c r="F257" s="4" t="s">
        <v>648</v>
      </c>
      <c r="G257" s="4" t="s">
        <v>26</v>
      </c>
      <c r="H257" s="4" t="s">
        <v>639</v>
      </c>
      <c r="I257" s="12"/>
      <c r="J257" s="12"/>
      <c r="K257" s="12"/>
      <c r="L257" s="12"/>
      <c r="M257" s="64"/>
      <c r="N257" s="12"/>
      <c r="O257" s="12"/>
      <c r="P257" s="12"/>
      <c r="Q257" s="12"/>
      <c r="R257" s="12"/>
      <c r="S257" s="12"/>
      <c r="T257" s="12"/>
      <c r="U257" s="12"/>
      <c r="V257" s="12"/>
      <c r="W257" s="7"/>
      <c r="X257" s="12"/>
      <c r="Y257" s="7"/>
      <c r="Z257" s="7"/>
      <c r="AA257" s="7"/>
      <c r="AB257" s="8">
        <f>1/(5.99*10^-6)</f>
        <v>166944.9081803005</v>
      </c>
      <c r="AC257" s="7"/>
      <c r="AD257" s="4"/>
      <c r="AE257" s="4"/>
      <c r="AF257" s="4"/>
      <c r="AG257" s="4"/>
      <c r="AH257" s="9"/>
      <c r="AI257" s="9"/>
      <c r="AJ257" s="9"/>
      <c r="AK257" s="9" t="s">
        <v>30</v>
      </c>
      <c r="AL257" s="10"/>
      <c r="AM257" s="10"/>
      <c r="AN257" s="10"/>
      <c r="AO257" s="10"/>
      <c r="AP257" s="10"/>
      <c r="AQ257" s="11">
        <v>13</v>
      </c>
      <c r="AR257" s="4"/>
      <c r="AS257" s="10"/>
      <c r="AT257" s="10"/>
      <c r="AU257" s="10"/>
      <c r="AV257" s="10"/>
      <c r="AW257" s="10"/>
      <c r="AX257" s="10"/>
      <c r="AY257" s="10"/>
      <c r="AZ257" s="10"/>
      <c r="BA257" s="10"/>
      <c r="BB257" s="10"/>
      <c r="BC257" s="10"/>
      <c r="BD257" s="10"/>
    </row>
    <row r="258" spans="1:56" ht="30" x14ac:dyDescent="0.25">
      <c r="A258" s="4" t="s">
        <v>627</v>
      </c>
      <c r="B258" s="4"/>
      <c r="C258" s="4" t="s">
        <v>46</v>
      </c>
      <c r="D258" s="4" t="s">
        <v>47</v>
      </c>
      <c r="E258" s="5" t="s">
        <v>34</v>
      </c>
      <c r="F258" s="4" t="s">
        <v>648</v>
      </c>
      <c r="G258" s="4" t="s">
        <v>26</v>
      </c>
      <c r="H258" s="4" t="s">
        <v>1053</v>
      </c>
      <c r="I258" s="12"/>
      <c r="J258" s="12"/>
      <c r="K258" s="12"/>
      <c r="L258" s="12"/>
      <c r="M258" s="64"/>
      <c r="N258" s="12"/>
      <c r="O258" s="12"/>
      <c r="P258" s="12"/>
      <c r="Q258" s="12"/>
      <c r="R258" s="12"/>
      <c r="S258" s="12"/>
      <c r="T258" s="12"/>
      <c r="U258" s="12"/>
      <c r="V258" s="12"/>
      <c r="W258" s="7"/>
      <c r="X258" s="12"/>
      <c r="Y258" s="7"/>
      <c r="Z258" s="7"/>
      <c r="AA258" s="7"/>
      <c r="AB258" s="8">
        <f>1/(1*10^-5)</f>
        <v>99999.999999999985</v>
      </c>
      <c r="AC258" s="7"/>
      <c r="AD258" s="4"/>
      <c r="AE258" s="4"/>
      <c r="AF258" s="4"/>
      <c r="AG258" s="4"/>
      <c r="AH258" s="9"/>
      <c r="AI258" s="9"/>
      <c r="AJ258" s="9"/>
      <c r="AK258" s="9" t="s">
        <v>30</v>
      </c>
      <c r="AL258" s="10"/>
      <c r="AM258" s="10"/>
      <c r="AN258" s="10"/>
      <c r="AO258" s="10"/>
      <c r="AP258" s="10"/>
      <c r="AQ258" s="11">
        <v>13</v>
      </c>
      <c r="AR258" s="4"/>
      <c r="AS258" s="10"/>
      <c r="AT258" s="10"/>
      <c r="AU258" s="10"/>
      <c r="AV258" s="10"/>
      <c r="AW258" s="10"/>
      <c r="AX258" s="10"/>
      <c r="AY258" s="10"/>
      <c r="AZ258" s="10"/>
      <c r="BA258" s="10"/>
      <c r="BB258" s="10"/>
      <c r="BC258" s="10"/>
      <c r="BD258" s="10"/>
    </row>
    <row r="259" spans="1:56" ht="30" x14ac:dyDescent="0.25">
      <c r="A259" s="4" t="s">
        <v>649</v>
      </c>
      <c r="B259" s="4"/>
      <c r="C259" s="4" t="s">
        <v>46</v>
      </c>
      <c r="D259" s="4" t="s">
        <v>47</v>
      </c>
      <c r="E259" s="5" t="s">
        <v>34</v>
      </c>
      <c r="F259" s="4" t="s">
        <v>648</v>
      </c>
      <c r="G259" s="4" t="s">
        <v>26</v>
      </c>
      <c r="H259" s="4" t="s">
        <v>1053</v>
      </c>
      <c r="I259" s="12"/>
      <c r="J259" s="12"/>
      <c r="K259" s="12"/>
      <c r="L259" s="12"/>
      <c r="M259" s="64"/>
      <c r="N259" s="12"/>
      <c r="O259" s="12"/>
      <c r="P259" s="12"/>
      <c r="Q259" s="12"/>
      <c r="R259" s="12"/>
      <c r="S259" s="12"/>
      <c r="T259" s="12"/>
      <c r="U259" s="12"/>
      <c r="V259" s="12"/>
      <c r="W259" s="7"/>
      <c r="X259" s="12"/>
      <c r="Y259" s="7"/>
      <c r="Z259" s="7"/>
      <c r="AA259" s="7"/>
      <c r="AB259" s="8">
        <f>1/(1.07*10^-6)</f>
        <v>934579.43925233651</v>
      </c>
      <c r="AC259" s="7"/>
      <c r="AD259" s="4"/>
      <c r="AE259" s="4"/>
      <c r="AF259" s="4"/>
      <c r="AG259" s="4"/>
      <c r="AH259" s="9"/>
      <c r="AI259" s="9"/>
      <c r="AJ259" s="9"/>
      <c r="AK259" s="9" t="s">
        <v>30</v>
      </c>
      <c r="AL259" s="10"/>
      <c r="AM259" s="10"/>
      <c r="AN259" s="10"/>
      <c r="AO259" s="10"/>
      <c r="AP259" s="10"/>
      <c r="AQ259" s="11">
        <v>13</v>
      </c>
      <c r="AR259" s="4"/>
      <c r="AS259" s="10"/>
      <c r="AT259" s="10"/>
      <c r="AU259" s="10"/>
      <c r="AV259" s="10"/>
      <c r="AW259" s="10"/>
      <c r="AX259" s="10"/>
      <c r="AY259" s="10"/>
      <c r="AZ259" s="10"/>
      <c r="BA259" s="10"/>
      <c r="BB259" s="10"/>
      <c r="BC259" s="10"/>
      <c r="BD259" s="10"/>
    </row>
    <row r="260" spans="1:56" ht="30" x14ac:dyDescent="0.25">
      <c r="A260" s="4" t="s">
        <v>650</v>
      </c>
      <c r="B260" s="4"/>
      <c r="C260" s="4" t="s">
        <v>46</v>
      </c>
      <c r="D260" s="4" t="s">
        <v>47</v>
      </c>
      <c r="E260" s="5" t="s">
        <v>34</v>
      </c>
      <c r="F260" s="4" t="s">
        <v>648</v>
      </c>
      <c r="G260" s="4" t="s">
        <v>26</v>
      </c>
      <c r="H260" s="4" t="s">
        <v>1053</v>
      </c>
      <c r="I260" s="12"/>
      <c r="J260" s="12"/>
      <c r="K260" s="12"/>
      <c r="L260" s="12"/>
      <c r="M260" s="64"/>
      <c r="N260" s="12"/>
      <c r="O260" s="12"/>
      <c r="P260" s="12"/>
      <c r="Q260" s="12"/>
      <c r="R260" s="12"/>
      <c r="S260" s="12"/>
      <c r="T260" s="12"/>
      <c r="U260" s="12"/>
      <c r="V260" s="12"/>
      <c r="W260" s="7"/>
      <c r="X260" s="12"/>
      <c r="Y260" s="7"/>
      <c r="Z260" s="7"/>
      <c r="AA260" s="7"/>
      <c r="AB260" s="8">
        <f>1/(1*10^-5)</f>
        <v>99999.999999999985</v>
      </c>
      <c r="AC260" s="7"/>
      <c r="AD260" s="4"/>
      <c r="AE260" s="4"/>
      <c r="AF260" s="4"/>
      <c r="AG260" s="4"/>
      <c r="AH260" s="9"/>
      <c r="AI260" s="9"/>
      <c r="AJ260" s="9"/>
      <c r="AK260" s="9" t="s">
        <v>30</v>
      </c>
      <c r="AL260" s="10"/>
      <c r="AM260" s="10"/>
      <c r="AN260" s="10"/>
      <c r="AO260" s="10"/>
      <c r="AP260" s="10"/>
      <c r="AQ260" s="11">
        <v>13</v>
      </c>
      <c r="AR260" s="4"/>
      <c r="AS260" s="10"/>
      <c r="AT260" s="10"/>
      <c r="AU260" s="10"/>
      <c r="AV260" s="10"/>
      <c r="AW260" s="10"/>
      <c r="AX260" s="10"/>
      <c r="AY260" s="10"/>
      <c r="AZ260" s="10"/>
      <c r="BA260" s="10"/>
      <c r="BB260" s="10"/>
      <c r="BC260" s="10"/>
      <c r="BD260" s="10"/>
    </row>
    <row r="261" spans="1:56" ht="30" x14ac:dyDescent="0.25">
      <c r="A261" s="4" t="s">
        <v>586</v>
      </c>
      <c r="B261" s="4"/>
      <c r="C261" s="4" t="s">
        <v>46</v>
      </c>
      <c r="D261" s="4" t="s">
        <v>47</v>
      </c>
      <c r="E261" s="5" t="s">
        <v>34</v>
      </c>
      <c r="F261" s="4" t="s">
        <v>648</v>
      </c>
      <c r="G261" s="4" t="s">
        <v>26</v>
      </c>
      <c r="H261" s="4" t="s">
        <v>651</v>
      </c>
      <c r="I261" s="12"/>
      <c r="J261" s="12"/>
      <c r="K261" s="12"/>
      <c r="L261" s="12"/>
      <c r="M261" s="64"/>
      <c r="N261" s="12"/>
      <c r="O261" s="12"/>
      <c r="P261" s="12"/>
      <c r="Q261" s="12"/>
      <c r="R261" s="12"/>
      <c r="S261" s="12"/>
      <c r="T261" s="12"/>
      <c r="U261" s="12"/>
      <c r="V261" s="12"/>
      <c r="W261" s="7"/>
      <c r="X261" s="12"/>
      <c r="Y261" s="7"/>
      <c r="Z261" s="7"/>
      <c r="AA261" s="7"/>
      <c r="AB261" s="8">
        <f>1/(1*10^-5)</f>
        <v>99999.999999999985</v>
      </c>
      <c r="AC261" s="7"/>
      <c r="AD261" s="4"/>
      <c r="AE261" s="4"/>
      <c r="AF261" s="4"/>
      <c r="AG261" s="4"/>
      <c r="AH261" s="9"/>
      <c r="AI261" s="9"/>
      <c r="AJ261" s="9"/>
      <c r="AK261" s="9" t="s">
        <v>30</v>
      </c>
      <c r="AL261" s="10"/>
      <c r="AM261" s="10"/>
      <c r="AN261" s="10"/>
      <c r="AO261" s="10"/>
      <c r="AP261" s="10"/>
      <c r="AQ261" s="11">
        <v>13</v>
      </c>
      <c r="AR261" s="4"/>
      <c r="AS261" s="10"/>
      <c r="AT261" s="10"/>
      <c r="AU261" s="10"/>
      <c r="AV261" s="10"/>
      <c r="AW261" s="10"/>
      <c r="AX261" s="10"/>
      <c r="AY261" s="10"/>
      <c r="AZ261" s="10"/>
      <c r="BA261" s="10"/>
      <c r="BB261" s="10"/>
      <c r="BC261" s="10"/>
      <c r="BD261" s="10"/>
    </row>
    <row r="262" spans="1:56" ht="30" x14ac:dyDescent="0.25">
      <c r="A262" s="4" t="s">
        <v>587</v>
      </c>
      <c r="B262" s="4"/>
      <c r="C262" s="4" t="s">
        <v>46</v>
      </c>
      <c r="D262" s="4" t="s">
        <v>47</v>
      </c>
      <c r="E262" s="5" t="s">
        <v>34</v>
      </c>
      <c r="F262" s="4" t="s">
        <v>648</v>
      </c>
      <c r="G262" s="4" t="s">
        <v>26</v>
      </c>
      <c r="H262" s="4" t="s">
        <v>639</v>
      </c>
      <c r="I262" s="12"/>
      <c r="J262" s="12"/>
      <c r="K262" s="12"/>
      <c r="L262" s="12"/>
      <c r="M262" s="64"/>
      <c r="N262" s="12"/>
      <c r="O262" s="12"/>
      <c r="P262" s="12"/>
      <c r="Q262" s="12"/>
      <c r="R262" s="12"/>
      <c r="S262" s="12"/>
      <c r="T262" s="12"/>
      <c r="U262" s="12"/>
      <c r="V262" s="12"/>
      <c r="W262" s="7"/>
      <c r="X262" s="12"/>
      <c r="Y262" s="7"/>
      <c r="Z262" s="7"/>
      <c r="AA262" s="7"/>
      <c r="AB262" s="8">
        <f>1/(1.5*10^-5)</f>
        <v>66666.666666666657</v>
      </c>
      <c r="AC262" s="7"/>
      <c r="AD262" s="4"/>
      <c r="AE262" s="4"/>
      <c r="AF262" s="4"/>
      <c r="AG262" s="4"/>
      <c r="AH262" s="9"/>
      <c r="AI262" s="9"/>
      <c r="AJ262" s="9"/>
      <c r="AK262" s="9" t="s">
        <v>30</v>
      </c>
      <c r="AL262" s="10"/>
      <c r="AM262" s="10"/>
      <c r="AN262" s="10"/>
      <c r="AO262" s="10"/>
      <c r="AP262" s="10"/>
      <c r="AQ262" s="11">
        <v>13</v>
      </c>
      <c r="AR262" s="4"/>
      <c r="AS262" s="10"/>
      <c r="AT262" s="10"/>
      <c r="AU262" s="10"/>
      <c r="AV262" s="10"/>
      <c r="AW262" s="10"/>
      <c r="AX262" s="10"/>
      <c r="AY262" s="10"/>
      <c r="AZ262" s="10"/>
      <c r="BA262" s="10"/>
      <c r="BB262" s="10"/>
      <c r="BC262" s="10"/>
      <c r="BD262" s="10"/>
    </row>
    <row r="263" spans="1:56" ht="30" x14ac:dyDescent="0.25">
      <c r="A263" s="4" t="s">
        <v>590</v>
      </c>
      <c r="B263" s="4"/>
      <c r="C263" s="4" t="s">
        <v>46</v>
      </c>
      <c r="D263" s="4" t="s">
        <v>47</v>
      </c>
      <c r="E263" s="5" t="s">
        <v>34</v>
      </c>
      <c r="F263" s="4" t="s">
        <v>648</v>
      </c>
      <c r="G263" s="4" t="s">
        <v>26</v>
      </c>
      <c r="H263" s="4" t="s">
        <v>652</v>
      </c>
      <c r="I263" s="12"/>
      <c r="J263" s="12"/>
      <c r="K263" s="12"/>
      <c r="L263" s="12"/>
      <c r="M263" s="64"/>
      <c r="N263" s="12"/>
      <c r="O263" s="12"/>
      <c r="P263" s="12"/>
      <c r="Q263" s="12"/>
      <c r="R263" s="12"/>
      <c r="S263" s="12"/>
      <c r="T263" s="12"/>
      <c r="U263" s="12"/>
      <c r="V263" s="12"/>
      <c r="W263" s="7"/>
      <c r="X263" s="12"/>
      <c r="Y263" s="7"/>
      <c r="Z263" s="7"/>
      <c r="AA263" s="7"/>
      <c r="AB263" s="8">
        <f>1/(1*10^-5)</f>
        <v>99999.999999999985</v>
      </c>
      <c r="AC263" s="7"/>
      <c r="AD263" s="4"/>
      <c r="AE263" s="4"/>
      <c r="AF263" s="4"/>
      <c r="AG263" s="4"/>
      <c r="AH263" s="9"/>
      <c r="AI263" s="9"/>
      <c r="AJ263" s="9"/>
      <c r="AK263" s="9" t="s">
        <v>30</v>
      </c>
      <c r="AL263" s="10"/>
      <c r="AM263" s="10"/>
      <c r="AN263" s="10"/>
      <c r="AO263" s="10"/>
      <c r="AP263" s="10"/>
      <c r="AQ263" s="11">
        <v>13</v>
      </c>
      <c r="AR263" s="4"/>
      <c r="AS263" s="10"/>
      <c r="AT263" s="10"/>
      <c r="AU263" s="10"/>
      <c r="AV263" s="10"/>
      <c r="AW263" s="10"/>
      <c r="AX263" s="10"/>
      <c r="AY263" s="10"/>
      <c r="AZ263" s="10"/>
      <c r="BA263" s="10"/>
      <c r="BB263" s="10"/>
      <c r="BC263" s="10"/>
      <c r="BD263" s="10"/>
    </row>
    <row r="264" spans="1:56" ht="30" x14ac:dyDescent="0.25">
      <c r="A264" s="4" t="s">
        <v>653</v>
      </c>
      <c r="B264" s="4"/>
      <c r="C264" s="4" t="s">
        <v>46</v>
      </c>
      <c r="D264" s="4" t="s">
        <v>47</v>
      </c>
      <c r="E264" s="5" t="s">
        <v>34</v>
      </c>
      <c r="F264" s="4" t="s">
        <v>648</v>
      </c>
      <c r="G264" s="4" t="s">
        <v>26</v>
      </c>
      <c r="H264" s="4" t="s">
        <v>1053</v>
      </c>
      <c r="I264" s="12"/>
      <c r="J264" s="12"/>
      <c r="K264" s="12"/>
      <c r="L264" s="12"/>
      <c r="M264" s="64"/>
      <c r="N264" s="12"/>
      <c r="O264" s="12"/>
      <c r="P264" s="12"/>
      <c r="Q264" s="12"/>
      <c r="R264" s="12"/>
      <c r="S264" s="12"/>
      <c r="T264" s="12"/>
      <c r="U264" s="12"/>
      <c r="V264" s="12"/>
      <c r="W264" s="7"/>
      <c r="X264" s="12"/>
      <c r="Y264" s="7"/>
      <c r="Z264" s="7"/>
      <c r="AA264" s="7"/>
      <c r="AB264" s="8">
        <f>1/(1.75*10^-5)</f>
        <v>57142.857142857138</v>
      </c>
      <c r="AC264" s="7"/>
      <c r="AD264" s="4"/>
      <c r="AE264" s="4"/>
      <c r="AF264" s="4"/>
      <c r="AG264" s="4"/>
      <c r="AH264" s="9"/>
      <c r="AI264" s="9"/>
      <c r="AJ264" s="9"/>
      <c r="AK264" s="9" t="s">
        <v>30</v>
      </c>
      <c r="AL264" s="10"/>
      <c r="AM264" s="10"/>
      <c r="AN264" s="10"/>
      <c r="AO264" s="10"/>
      <c r="AP264" s="10"/>
      <c r="AQ264" s="11">
        <v>13</v>
      </c>
      <c r="AR264" s="4"/>
      <c r="AS264" s="10"/>
      <c r="AT264" s="10"/>
      <c r="AU264" s="10"/>
      <c r="AV264" s="10"/>
      <c r="AW264" s="10"/>
      <c r="AX264" s="10"/>
      <c r="AY264" s="10"/>
      <c r="AZ264" s="10"/>
      <c r="BA264" s="10"/>
      <c r="BB264" s="10"/>
      <c r="BC264" s="10"/>
      <c r="BD264" s="10"/>
    </row>
    <row r="265" spans="1:56" ht="30" x14ac:dyDescent="0.25">
      <c r="A265" s="4" t="s">
        <v>592</v>
      </c>
      <c r="B265" s="4"/>
      <c r="C265" s="4" t="s">
        <v>46</v>
      </c>
      <c r="D265" s="4" t="s">
        <v>47</v>
      </c>
      <c r="E265" s="5" t="s">
        <v>34</v>
      </c>
      <c r="F265" s="4" t="s">
        <v>648</v>
      </c>
      <c r="G265" s="4" t="s">
        <v>26</v>
      </c>
      <c r="H265" s="4" t="s">
        <v>638</v>
      </c>
      <c r="I265" s="12"/>
      <c r="J265" s="12"/>
      <c r="K265" s="12"/>
      <c r="L265" s="12"/>
      <c r="M265" s="64"/>
      <c r="N265" s="12"/>
      <c r="O265" s="12"/>
      <c r="P265" s="12"/>
      <c r="Q265" s="12"/>
      <c r="R265" s="12"/>
      <c r="S265" s="12"/>
      <c r="T265" s="12"/>
      <c r="U265" s="12"/>
      <c r="V265" s="12"/>
      <c r="W265" s="7"/>
      <c r="X265" s="12"/>
      <c r="Y265" s="7"/>
      <c r="Z265" s="7"/>
      <c r="AA265" s="7"/>
      <c r="AB265" s="8">
        <f>1/(1*10^-5)</f>
        <v>99999.999999999985</v>
      </c>
      <c r="AC265" s="7"/>
      <c r="AD265" s="4"/>
      <c r="AE265" s="4"/>
      <c r="AF265" s="4"/>
      <c r="AG265" s="4"/>
      <c r="AH265" s="9"/>
      <c r="AI265" s="9"/>
      <c r="AJ265" s="9"/>
      <c r="AK265" s="9" t="s">
        <v>30</v>
      </c>
      <c r="AL265" s="10"/>
      <c r="AM265" s="10"/>
      <c r="AN265" s="10"/>
      <c r="AO265" s="10"/>
      <c r="AP265" s="10"/>
      <c r="AQ265" s="11">
        <v>13</v>
      </c>
      <c r="AR265" s="4"/>
      <c r="AS265" s="10"/>
      <c r="AT265" s="10"/>
      <c r="AU265" s="10"/>
      <c r="AV265" s="10"/>
      <c r="AW265" s="10"/>
      <c r="AX265" s="10"/>
      <c r="AY265" s="10"/>
      <c r="AZ265" s="10"/>
      <c r="BA265" s="10"/>
      <c r="BB265" s="10"/>
      <c r="BC265" s="10"/>
      <c r="BD265" s="10"/>
    </row>
    <row r="266" spans="1:56" ht="30" x14ac:dyDescent="0.25">
      <c r="A266" s="4" t="s">
        <v>591</v>
      </c>
      <c r="B266" s="4"/>
      <c r="C266" s="4" t="s">
        <v>46</v>
      </c>
      <c r="D266" s="4" t="s">
        <v>47</v>
      </c>
      <c r="E266" s="5" t="s">
        <v>34</v>
      </c>
      <c r="F266" s="4" t="s">
        <v>648</v>
      </c>
      <c r="G266" s="4" t="s">
        <v>26</v>
      </c>
      <c r="H266" s="4" t="s">
        <v>1053</v>
      </c>
      <c r="I266" s="12"/>
      <c r="J266" s="12"/>
      <c r="K266" s="12"/>
      <c r="L266" s="12"/>
      <c r="M266" s="64"/>
      <c r="N266" s="12"/>
      <c r="O266" s="12"/>
      <c r="P266" s="12"/>
      <c r="Q266" s="12"/>
      <c r="R266" s="12"/>
      <c r="S266" s="12"/>
      <c r="T266" s="12"/>
      <c r="U266" s="12"/>
      <c r="V266" s="12"/>
      <c r="W266" s="7"/>
      <c r="X266" s="12"/>
      <c r="Y266" s="7"/>
      <c r="Z266" s="7"/>
      <c r="AA266" s="7"/>
      <c r="AB266" s="8">
        <f>1/(6*10^-6)</f>
        <v>166666.66666666666</v>
      </c>
      <c r="AC266" s="7"/>
      <c r="AD266" s="4"/>
      <c r="AE266" s="4"/>
      <c r="AF266" s="4"/>
      <c r="AG266" s="4"/>
      <c r="AH266" s="9"/>
      <c r="AI266" s="9"/>
      <c r="AJ266" s="9"/>
      <c r="AK266" s="9" t="s">
        <v>30</v>
      </c>
      <c r="AL266" s="10"/>
      <c r="AM266" s="10"/>
      <c r="AN266" s="10"/>
      <c r="AO266" s="10"/>
      <c r="AP266" s="10"/>
      <c r="AQ266" s="11">
        <v>13</v>
      </c>
      <c r="AR266" s="4"/>
      <c r="AS266" s="10"/>
      <c r="AT266" s="10"/>
      <c r="AU266" s="10"/>
      <c r="AV266" s="10"/>
      <c r="AW266" s="10"/>
      <c r="AX266" s="10"/>
      <c r="AY266" s="10"/>
      <c r="AZ266" s="10"/>
      <c r="BA266" s="10"/>
      <c r="BB266" s="10"/>
      <c r="BC266" s="10"/>
      <c r="BD266" s="10"/>
    </row>
    <row r="267" spans="1:56" ht="30" x14ac:dyDescent="0.25">
      <c r="A267" s="4" t="s">
        <v>618</v>
      </c>
      <c r="B267" s="4"/>
      <c r="C267" s="4" t="s">
        <v>46</v>
      </c>
      <c r="D267" s="4" t="s">
        <v>47</v>
      </c>
      <c r="E267" s="5" t="s">
        <v>34</v>
      </c>
      <c r="F267" s="4" t="s">
        <v>648</v>
      </c>
      <c r="G267" s="4" t="s">
        <v>26</v>
      </c>
      <c r="H267" s="4" t="s">
        <v>654</v>
      </c>
      <c r="I267" s="12"/>
      <c r="J267" s="12"/>
      <c r="K267" s="12"/>
      <c r="L267" s="12"/>
      <c r="M267" s="64"/>
      <c r="N267" s="12"/>
      <c r="O267" s="12"/>
      <c r="P267" s="12"/>
      <c r="Q267" s="12"/>
      <c r="R267" s="12"/>
      <c r="S267" s="12"/>
      <c r="T267" s="12"/>
      <c r="U267" s="12"/>
      <c r="V267" s="12"/>
      <c r="W267" s="7"/>
      <c r="X267" s="12"/>
      <c r="Y267" s="7"/>
      <c r="Z267" s="7"/>
      <c r="AA267" s="7"/>
      <c r="AB267" s="8">
        <f>1/(1*10^-5)</f>
        <v>99999.999999999985</v>
      </c>
      <c r="AC267" s="7"/>
      <c r="AD267" s="4"/>
      <c r="AE267" s="4"/>
      <c r="AF267" s="4"/>
      <c r="AG267" s="4"/>
      <c r="AH267" s="9"/>
      <c r="AI267" s="9"/>
      <c r="AJ267" s="9"/>
      <c r="AK267" s="9" t="s">
        <v>30</v>
      </c>
      <c r="AL267" s="10"/>
      <c r="AM267" s="10"/>
      <c r="AN267" s="10"/>
      <c r="AO267" s="10"/>
      <c r="AP267" s="10"/>
      <c r="AQ267" s="11">
        <v>13</v>
      </c>
      <c r="AR267" s="4"/>
      <c r="AS267" s="10"/>
      <c r="AT267" s="10"/>
      <c r="AU267" s="10"/>
      <c r="AV267" s="10"/>
      <c r="AW267" s="10"/>
      <c r="AX267" s="10"/>
      <c r="AY267" s="10"/>
      <c r="AZ267" s="10"/>
      <c r="BA267" s="10"/>
      <c r="BB267" s="10"/>
      <c r="BC267" s="10"/>
      <c r="BD267" s="10"/>
    </row>
    <row r="268" spans="1:56" ht="30" x14ac:dyDescent="0.25">
      <c r="A268" s="4" t="s">
        <v>631</v>
      </c>
      <c r="B268" s="4"/>
      <c r="C268" s="4" t="s">
        <v>46</v>
      </c>
      <c r="D268" s="4" t="s">
        <v>47</v>
      </c>
      <c r="E268" s="5" t="s">
        <v>34</v>
      </c>
      <c r="F268" s="4" t="s">
        <v>648</v>
      </c>
      <c r="G268" s="4" t="s">
        <v>26</v>
      </c>
      <c r="H268" s="4" t="s">
        <v>1053</v>
      </c>
      <c r="I268" s="12"/>
      <c r="J268" s="12"/>
      <c r="K268" s="12"/>
      <c r="L268" s="12"/>
      <c r="M268" s="64"/>
      <c r="N268" s="12"/>
      <c r="O268" s="12"/>
      <c r="P268" s="12"/>
      <c r="Q268" s="12"/>
      <c r="R268" s="12"/>
      <c r="S268" s="12"/>
      <c r="T268" s="12"/>
      <c r="U268" s="12"/>
      <c r="V268" s="12"/>
      <c r="W268" s="7"/>
      <c r="X268" s="12"/>
      <c r="Y268" s="7"/>
      <c r="Z268" s="7"/>
      <c r="AA268" s="7"/>
      <c r="AB268" s="8">
        <f>1/(5.99*10^-6)</f>
        <v>166944.9081803005</v>
      </c>
      <c r="AC268" s="7"/>
      <c r="AD268" s="4"/>
      <c r="AE268" s="4"/>
      <c r="AF268" s="4"/>
      <c r="AG268" s="4"/>
      <c r="AH268" s="9"/>
      <c r="AI268" s="9"/>
      <c r="AJ268" s="9"/>
      <c r="AK268" s="9" t="s">
        <v>30</v>
      </c>
      <c r="AL268" s="10"/>
      <c r="AM268" s="10"/>
      <c r="AN268" s="10"/>
      <c r="AO268" s="10"/>
      <c r="AP268" s="10"/>
      <c r="AQ268" s="11">
        <v>13</v>
      </c>
      <c r="AR268" s="4"/>
      <c r="AS268" s="10"/>
      <c r="AT268" s="10"/>
      <c r="AU268" s="10"/>
      <c r="AV268" s="10"/>
      <c r="AW268" s="10"/>
      <c r="AX268" s="10"/>
      <c r="AY268" s="10"/>
      <c r="AZ268" s="10"/>
      <c r="BA268" s="10"/>
      <c r="BB268" s="10"/>
      <c r="BC268" s="10"/>
      <c r="BD268" s="10"/>
    </row>
    <row r="269" spans="1:56" ht="30" x14ac:dyDescent="0.25">
      <c r="A269" s="4" t="s">
        <v>655</v>
      </c>
      <c r="B269" s="4"/>
      <c r="C269" s="4" t="s">
        <v>46</v>
      </c>
      <c r="D269" s="4" t="s">
        <v>47</v>
      </c>
      <c r="E269" s="5" t="s">
        <v>34</v>
      </c>
      <c r="F269" s="4" t="s">
        <v>648</v>
      </c>
      <c r="G269" s="4" t="s">
        <v>26</v>
      </c>
      <c r="H269" s="4" t="s">
        <v>651</v>
      </c>
      <c r="I269" s="12"/>
      <c r="J269" s="12"/>
      <c r="K269" s="12"/>
      <c r="L269" s="12"/>
      <c r="M269" s="64"/>
      <c r="N269" s="12"/>
      <c r="O269" s="12"/>
      <c r="P269" s="12"/>
      <c r="Q269" s="12"/>
      <c r="R269" s="12"/>
      <c r="S269" s="12"/>
      <c r="T269" s="12"/>
      <c r="U269" s="12"/>
      <c r="V269" s="12"/>
      <c r="W269" s="7"/>
      <c r="X269" s="12"/>
      <c r="Y269" s="7"/>
      <c r="Z269" s="7"/>
      <c r="AA269" s="7"/>
      <c r="AB269" s="8">
        <f>1/(8.75*10^-6)</f>
        <v>114285.71428571429</v>
      </c>
      <c r="AC269" s="7"/>
      <c r="AD269" s="4"/>
      <c r="AE269" s="4"/>
      <c r="AF269" s="4"/>
      <c r="AG269" s="4"/>
      <c r="AH269" s="9"/>
      <c r="AI269" s="9"/>
      <c r="AJ269" s="9"/>
      <c r="AK269" s="9" t="s">
        <v>30</v>
      </c>
      <c r="AL269" s="10"/>
      <c r="AM269" s="10"/>
      <c r="AN269" s="10"/>
      <c r="AO269" s="10"/>
      <c r="AP269" s="10"/>
      <c r="AQ269" s="11">
        <v>13</v>
      </c>
      <c r="AR269" s="4"/>
      <c r="AS269" s="10"/>
      <c r="AT269" s="10"/>
      <c r="AU269" s="10"/>
      <c r="AV269" s="10"/>
      <c r="AW269" s="10"/>
      <c r="AX269" s="10"/>
      <c r="AY269" s="10"/>
      <c r="AZ269" s="10"/>
      <c r="BA269" s="10"/>
      <c r="BB269" s="10"/>
      <c r="BC269" s="10"/>
      <c r="BD269" s="10"/>
    </row>
    <row r="270" spans="1:56" ht="30" x14ac:dyDescent="0.25">
      <c r="A270" s="4" t="s">
        <v>656</v>
      </c>
      <c r="B270" s="4"/>
      <c r="C270" s="4" t="s">
        <v>46</v>
      </c>
      <c r="D270" s="4" t="s">
        <v>47</v>
      </c>
      <c r="E270" s="5" t="s">
        <v>34</v>
      </c>
      <c r="F270" s="4" t="s">
        <v>648</v>
      </c>
      <c r="G270" s="4" t="s">
        <v>26</v>
      </c>
      <c r="H270" s="4" t="s">
        <v>1053</v>
      </c>
      <c r="I270" s="12"/>
      <c r="J270" s="12"/>
      <c r="K270" s="12"/>
      <c r="L270" s="12"/>
      <c r="M270" s="64"/>
      <c r="N270" s="12"/>
      <c r="O270" s="12"/>
      <c r="P270" s="12"/>
      <c r="Q270" s="12"/>
      <c r="R270" s="12"/>
      <c r="S270" s="12"/>
      <c r="T270" s="12"/>
      <c r="U270" s="12"/>
      <c r="V270" s="12"/>
      <c r="W270" s="7"/>
      <c r="X270" s="12"/>
      <c r="Y270" s="7"/>
      <c r="Z270" s="7"/>
      <c r="AA270" s="7"/>
      <c r="AB270" s="8">
        <f>1/(1*10^-5)</f>
        <v>99999.999999999985</v>
      </c>
      <c r="AC270" s="7"/>
      <c r="AD270" s="4"/>
      <c r="AE270" s="4"/>
      <c r="AF270" s="4"/>
      <c r="AG270" s="4"/>
      <c r="AH270" s="9"/>
      <c r="AI270" s="9"/>
      <c r="AJ270" s="9"/>
      <c r="AK270" s="9" t="s">
        <v>30</v>
      </c>
      <c r="AL270" s="10"/>
      <c r="AM270" s="10"/>
      <c r="AN270" s="10"/>
      <c r="AO270" s="10"/>
      <c r="AP270" s="10"/>
      <c r="AQ270" s="11">
        <v>13</v>
      </c>
      <c r="AR270" s="4"/>
      <c r="AS270" s="10"/>
      <c r="AT270" s="10"/>
      <c r="AU270" s="10"/>
      <c r="AV270" s="10"/>
      <c r="AW270" s="10"/>
      <c r="AX270" s="10"/>
      <c r="AY270" s="10"/>
      <c r="AZ270" s="10"/>
      <c r="BA270" s="10"/>
      <c r="BB270" s="10"/>
      <c r="BC270" s="10"/>
      <c r="BD270" s="10"/>
    </row>
    <row r="271" spans="1:56" ht="30" x14ac:dyDescent="0.25">
      <c r="A271" s="4" t="s">
        <v>81</v>
      </c>
      <c r="B271" s="4"/>
      <c r="C271" s="4" t="s">
        <v>46</v>
      </c>
      <c r="D271" s="4" t="s">
        <v>47</v>
      </c>
      <c r="E271" s="5" t="s">
        <v>34</v>
      </c>
      <c r="F271" s="4" t="s">
        <v>657</v>
      </c>
      <c r="G271" s="4" t="s">
        <v>26</v>
      </c>
      <c r="H271" s="4" t="s">
        <v>1053</v>
      </c>
      <c r="I271" s="12"/>
      <c r="J271" s="12"/>
      <c r="K271" s="12"/>
      <c r="L271" s="12"/>
      <c r="M271" s="64"/>
      <c r="N271" s="12"/>
      <c r="O271" s="12"/>
      <c r="P271" s="12"/>
      <c r="Q271" s="12"/>
      <c r="R271" s="12"/>
      <c r="S271" s="12"/>
      <c r="T271" s="12"/>
      <c r="U271" s="12"/>
      <c r="V271" s="12"/>
      <c r="W271" s="7"/>
      <c r="X271" s="12"/>
      <c r="Y271" s="7"/>
      <c r="Z271" s="7"/>
      <c r="AA271" s="7"/>
      <c r="AB271" s="8">
        <f>1/(8*10^-6)</f>
        <v>125000</v>
      </c>
      <c r="AC271" s="8"/>
      <c r="AD271" s="4"/>
      <c r="AE271" s="4"/>
      <c r="AF271" s="4"/>
      <c r="AG271" s="4"/>
      <c r="AH271" s="9"/>
      <c r="AI271" s="9"/>
      <c r="AJ271" s="9"/>
      <c r="AK271" s="9" t="s">
        <v>30</v>
      </c>
      <c r="AL271" s="10"/>
      <c r="AM271" s="10"/>
      <c r="AN271" s="10"/>
      <c r="AO271" s="10"/>
      <c r="AP271" s="10"/>
      <c r="AQ271" s="11">
        <v>13</v>
      </c>
      <c r="AR271" s="4"/>
      <c r="AS271" s="10"/>
      <c r="AT271" s="10"/>
      <c r="AU271" s="10"/>
      <c r="AV271" s="10"/>
      <c r="AW271" s="10"/>
      <c r="AX271" s="10"/>
      <c r="AY271" s="10"/>
      <c r="AZ271" s="10"/>
      <c r="BA271" s="10"/>
      <c r="BB271" s="10"/>
      <c r="BC271" s="10"/>
      <c r="BD271" s="10"/>
    </row>
    <row r="272" spans="1:56" ht="30" x14ac:dyDescent="0.25">
      <c r="A272" s="4" t="s">
        <v>641</v>
      </c>
      <c r="B272" s="4"/>
      <c r="C272" s="4" t="s">
        <v>46</v>
      </c>
      <c r="D272" s="4" t="s">
        <v>47</v>
      </c>
      <c r="E272" s="5" t="s">
        <v>34</v>
      </c>
      <c r="F272" s="4" t="s">
        <v>657</v>
      </c>
      <c r="G272" s="4" t="s">
        <v>26</v>
      </c>
      <c r="H272" s="4" t="s">
        <v>1053</v>
      </c>
      <c r="I272" s="12"/>
      <c r="J272" s="12"/>
      <c r="K272" s="12"/>
      <c r="L272" s="12"/>
      <c r="M272" s="64"/>
      <c r="N272" s="12"/>
      <c r="O272" s="12"/>
      <c r="P272" s="12"/>
      <c r="Q272" s="12"/>
      <c r="R272" s="12"/>
      <c r="S272" s="12"/>
      <c r="T272" s="12"/>
      <c r="U272" s="12"/>
      <c r="V272" s="12"/>
      <c r="W272" s="7"/>
      <c r="X272" s="12"/>
      <c r="Y272" s="7"/>
      <c r="Z272" s="7"/>
      <c r="AA272" s="7"/>
      <c r="AB272" s="8">
        <f>1/(1.7*10^-5)</f>
        <v>58823.529411764706</v>
      </c>
      <c r="AC272" s="8"/>
      <c r="AD272" s="4"/>
      <c r="AE272" s="4"/>
      <c r="AF272" s="4"/>
      <c r="AG272" s="4"/>
      <c r="AH272" s="9"/>
      <c r="AI272" s="9"/>
      <c r="AJ272" s="9"/>
      <c r="AK272" s="9" t="s">
        <v>30</v>
      </c>
      <c r="AL272" s="10"/>
      <c r="AM272" s="10"/>
      <c r="AN272" s="10"/>
      <c r="AO272" s="10"/>
      <c r="AP272" s="10"/>
      <c r="AQ272" s="11">
        <v>13</v>
      </c>
      <c r="AR272" s="4"/>
      <c r="AS272" s="10"/>
      <c r="AT272" s="10"/>
      <c r="AU272" s="10"/>
      <c r="AV272" s="10"/>
      <c r="AW272" s="10"/>
      <c r="AX272" s="10"/>
      <c r="AY272" s="10"/>
      <c r="AZ272" s="10"/>
      <c r="BA272" s="10"/>
      <c r="BB272" s="10"/>
      <c r="BC272" s="10"/>
      <c r="BD272" s="10"/>
    </row>
    <row r="273" spans="1:56" ht="30" x14ac:dyDescent="0.25">
      <c r="A273" s="4" t="s">
        <v>658</v>
      </c>
      <c r="B273" s="4"/>
      <c r="C273" s="4" t="s">
        <v>46</v>
      </c>
      <c r="D273" s="4" t="s">
        <v>47</v>
      </c>
      <c r="E273" s="5" t="s">
        <v>34</v>
      </c>
      <c r="F273" s="4" t="s">
        <v>657</v>
      </c>
      <c r="G273" s="4" t="s">
        <v>26</v>
      </c>
      <c r="H273" s="4" t="s">
        <v>1053</v>
      </c>
      <c r="I273" s="12"/>
      <c r="J273" s="12"/>
      <c r="K273" s="12"/>
      <c r="L273" s="12"/>
      <c r="M273" s="64"/>
      <c r="N273" s="12"/>
      <c r="O273" s="12"/>
      <c r="P273" s="12"/>
      <c r="Q273" s="12"/>
      <c r="R273" s="12"/>
      <c r="S273" s="12"/>
      <c r="T273" s="12"/>
      <c r="U273" s="12"/>
      <c r="V273" s="12"/>
      <c r="W273" s="7"/>
      <c r="X273" s="12"/>
      <c r="Y273" s="7"/>
      <c r="Z273" s="7"/>
      <c r="AA273" s="7"/>
      <c r="AB273" s="8">
        <f>1/(1*10^-5)</f>
        <v>99999.999999999985</v>
      </c>
      <c r="AC273" s="8"/>
      <c r="AD273" s="4"/>
      <c r="AE273" s="4"/>
      <c r="AF273" s="4"/>
      <c r="AG273" s="4"/>
      <c r="AH273" s="9"/>
      <c r="AI273" s="9"/>
      <c r="AJ273" s="9"/>
      <c r="AK273" s="9" t="s">
        <v>30</v>
      </c>
      <c r="AL273" s="10"/>
      <c r="AM273" s="10"/>
      <c r="AN273" s="10"/>
      <c r="AO273" s="10"/>
      <c r="AP273" s="10"/>
      <c r="AQ273" s="11">
        <v>13</v>
      </c>
      <c r="AR273" s="4"/>
      <c r="AS273" s="10"/>
      <c r="AT273" s="10"/>
      <c r="AU273" s="10"/>
      <c r="AV273" s="10"/>
      <c r="AW273" s="10"/>
      <c r="AX273" s="10"/>
      <c r="AY273" s="10"/>
      <c r="AZ273" s="10"/>
      <c r="BA273" s="10"/>
      <c r="BB273" s="10"/>
      <c r="BC273" s="10"/>
      <c r="BD273" s="10"/>
    </row>
    <row r="274" spans="1:56" ht="30" x14ac:dyDescent="0.25">
      <c r="A274" s="4" t="s">
        <v>627</v>
      </c>
      <c r="B274" s="4"/>
      <c r="C274" s="4" t="s">
        <v>46</v>
      </c>
      <c r="D274" s="4" t="s">
        <v>47</v>
      </c>
      <c r="E274" s="5" t="s">
        <v>34</v>
      </c>
      <c r="F274" s="4" t="s">
        <v>657</v>
      </c>
      <c r="G274" s="4" t="s">
        <v>26</v>
      </c>
      <c r="H274" s="4" t="s">
        <v>1053</v>
      </c>
      <c r="I274" s="12"/>
      <c r="J274" s="12"/>
      <c r="K274" s="12"/>
      <c r="L274" s="12"/>
      <c r="M274" s="64"/>
      <c r="N274" s="12"/>
      <c r="O274" s="12"/>
      <c r="P274" s="12"/>
      <c r="Q274" s="12"/>
      <c r="R274" s="12"/>
      <c r="S274" s="12"/>
      <c r="T274" s="12"/>
      <c r="U274" s="12"/>
      <c r="V274" s="12"/>
      <c r="W274" s="7"/>
      <c r="X274" s="12"/>
      <c r="Y274" s="7"/>
      <c r="Z274" s="7"/>
      <c r="AA274" s="7"/>
      <c r="AB274" s="8">
        <f>1/(1*10^-5)</f>
        <v>99999.999999999985</v>
      </c>
      <c r="AC274" s="8"/>
      <c r="AD274" s="4"/>
      <c r="AE274" s="4"/>
      <c r="AF274" s="4"/>
      <c r="AG274" s="4"/>
      <c r="AH274" s="9"/>
      <c r="AI274" s="9"/>
      <c r="AJ274" s="9"/>
      <c r="AK274" s="9" t="s">
        <v>30</v>
      </c>
      <c r="AL274" s="10"/>
      <c r="AM274" s="10"/>
      <c r="AN274" s="10"/>
      <c r="AO274" s="10"/>
      <c r="AP274" s="10"/>
      <c r="AQ274" s="11">
        <v>13</v>
      </c>
      <c r="AR274" s="4"/>
      <c r="AS274" s="10"/>
      <c r="AT274" s="10"/>
      <c r="AU274" s="10"/>
      <c r="AV274" s="10"/>
      <c r="AW274" s="10"/>
      <c r="AX274" s="10"/>
      <c r="AY274" s="10"/>
      <c r="AZ274" s="10"/>
      <c r="BA274" s="10"/>
      <c r="BB274" s="10"/>
      <c r="BC274" s="10"/>
      <c r="BD274" s="10"/>
    </row>
    <row r="275" spans="1:56" ht="30" x14ac:dyDescent="0.25">
      <c r="A275" s="4" t="s">
        <v>659</v>
      </c>
      <c r="B275" s="4"/>
      <c r="C275" s="4" t="s">
        <v>46</v>
      </c>
      <c r="D275" s="4" t="s">
        <v>47</v>
      </c>
      <c r="E275" s="5" t="s">
        <v>34</v>
      </c>
      <c r="F275" s="4" t="s">
        <v>657</v>
      </c>
      <c r="G275" s="4" t="s">
        <v>26</v>
      </c>
      <c r="H275" s="4" t="s">
        <v>1053</v>
      </c>
      <c r="I275" s="12"/>
      <c r="J275" s="12"/>
      <c r="K275" s="12"/>
      <c r="L275" s="12"/>
      <c r="M275" s="64"/>
      <c r="N275" s="12"/>
      <c r="O275" s="12"/>
      <c r="P275" s="12"/>
      <c r="Q275" s="12"/>
      <c r="R275" s="12"/>
      <c r="S275" s="12"/>
      <c r="T275" s="12"/>
      <c r="U275" s="12"/>
      <c r="V275" s="12"/>
      <c r="W275" s="7"/>
      <c r="X275" s="12"/>
      <c r="Y275" s="7"/>
      <c r="Z275" s="7"/>
      <c r="AA275" s="7"/>
      <c r="AB275" s="8">
        <f>1/(1*10^-5)</f>
        <v>99999.999999999985</v>
      </c>
      <c r="AC275" s="8"/>
      <c r="AD275" s="4"/>
      <c r="AE275" s="4"/>
      <c r="AF275" s="4"/>
      <c r="AG275" s="4"/>
      <c r="AH275" s="9"/>
      <c r="AI275" s="9"/>
      <c r="AJ275" s="9"/>
      <c r="AK275" s="9" t="s">
        <v>30</v>
      </c>
      <c r="AL275" s="10"/>
      <c r="AM275" s="10"/>
      <c r="AN275" s="10"/>
      <c r="AO275" s="10"/>
      <c r="AP275" s="10"/>
      <c r="AQ275" s="11">
        <v>13</v>
      </c>
      <c r="AR275" s="4"/>
      <c r="AS275" s="10"/>
      <c r="AT275" s="10"/>
      <c r="AU275" s="10"/>
      <c r="AV275" s="10"/>
      <c r="AW275" s="10"/>
      <c r="AX275" s="10"/>
      <c r="AY275" s="10"/>
      <c r="AZ275" s="10"/>
      <c r="BA275" s="10"/>
      <c r="BB275" s="10"/>
      <c r="BC275" s="10"/>
      <c r="BD275" s="10"/>
    </row>
    <row r="276" spans="1:56" ht="30" x14ac:dyDescent="0.25">
      <c r="A276" s="4" t="s">
        <v>590</v>
      </c>
      <c r="B276" s="4"/>
      <c r="C276" s="4" t="s">
        <v>46</v>
      </c>
      <c r="D276" s="4" t="s">
        <v>47</v>
      </c>
      <c r="E276" s="5" t="s">
        <v>34</v>
      </c>
      <c r="F276" s="4" t="s">
        <v>657</v>
      </c>
      <c r="G276" s="4" t="s">
        <v>26</v>
      </c>
      <c r="H276" s="4" t="s">
        <v>638</v>
      </c>
      <c r="I276" s="12"/>
      <c r="J276" s="12"/>
      <c r="K276" s="12"/>
      <c r="L276" s="12"/>
      <c r="M276" s="64"/>
      <c r="N276" s="12"/>
      <c r="O276" s="12"/>
      <c r="P276" s="12"/>
      <c r="Q276" s="12"/>
      <c r="R276" s="12"/>
      <c r="S276" s="12"/>
      <c r="T276" s="12"/>
      <c r="U276" s="12"/>
      <c r="V276" s="12"/>
      <c r="W276" s="7"/>
      <c r="X276" s="12"/>
      <c r="Y276" s="7"/>
      <c r="Z276" s="7"/>
      <c r="AA276" s="7"/>
      <c r="AB276" s="8">
        <f>1/(1*10^-5)</f>
        <v>99999.999999999985</v>
      </c>
      <c r="AC276" s="8"/>
      <c r="AD276" s="4"/>
      <c r="AE276" s="4"/>
      <c r="AF276" s="4"/>
      <c r="AG276" s="4"/>
      <c r="AH276" s="9"/>
      <c r="AI276" s="9"/>
      <c r="AJ276" s="9"/>
      <c r="AK276" s="9" t="s">
        <v>30</v>
      </c>
      <c r="AL276" s="10"/>
      <c r="AM276" s="10"/>
      <c r="AN276" s="10"/>
      <c r="AO276" s="10"/>
      <c r="AP276" s="10"/>
      <c r="AQ276" s="11">
        <v>13</v>
      </c>
      <c r="AR276" s="4"/>
      <c r="AS276" s="10"/>
      <c r="AT276" s="10"/>
      <c r="AU276" s="10"/>
      <c r="AV276" s="10"/>
      <c r="AW276" s="10"/>
      <c r="AX276" s="10"/>
      <c r="AY276" s="10"/>
      <c r="AZ276" s="10"/>
      <c r="BA276" s="10"/>
      <c r="BB276" s="10"/>
      <c r="BC276" s="10"/>
      <c r="BD276" s="10"/>
    </row>
    <row r="277" spans="1:56" ht="30" x14ac:dyDescent="0.25">
      <c r="A277" s="4" t="s">
        <v>591</v>
      </c>
      <c r="B277" s="4"/>
      <c r="C277" s="4" t="s">
        <v>46</v>
      </c>
      <c r="D277" s="4" t="s">
        <v>47</v>
      </c>
      <c r="E277" s="5" t="s">
        <v>34</v>
      </c>
      <c r="F277" s="4" t="s">
        <v>657</v>
      </c>
      <c r="G277" s="4" t="s">
        <v>26</v>
      </c>
      <c r="H277" s="4" t="s">
        <v>635</v>
      </c>
      <c r="I277" s="12"/>
      <c r="J277" s="12"/>
      <c r="K277" s="12"/>
      <c r="L277" s="12"/>
      <c r="M277" s="64"/>
      <c r="N277" s="12"/>
      <c r="O277" s="12"/>
      <c r="P277" s="12"/>
      <c r="Q277" s="12"/>
      <c r="R277" s="12"/>
      <c r="S277" s="12"/>
      <c r="T277" s="12"/>
      <c r="U277" s="12"/>
      <c r="V277" s="12"/>
      <c r="W277" s="7"/>
      <c r="X277" s="12"/>
      <c r="Y277" s="7"/>
      <c r="Z277" s="7"/>
      <c r="AA277" s="7"/>
      <c r="AB277" s="8">
        <f>1/(6*10^-6)</f>
        <v>166666.66666666666</v>
      </c>
      <c r="AC277" s="8"/>
      <c r="AD277" s="4"/>
      <c r="AE277" s="4"/>
      <c r="AF277" s="4"/>
      <c r="AG277" s="4"/>
      <c r="AH277" s="9"/>
      <c r="AI277" s="9"/>
      <c r="AJ277" s="9"/>
      <c r="AK277" s="9" t="s">
        <v>30</v>
      </c>
      <c r="AL277" s="10"/>
      <c r="AM277" s="10"/>
      <c r="AN277" s="10"/>
      <c r="AO277" s="10"/>
      <c r="AP277" s="10"/>
      <c r="AQ277" s="11">
        <v>13</v>
      </c>
      <c r="AR277" s="4"/>
      <c r="AS277" s="10"/>
      <c r="AT277" s="10"/>
      <c r="AU277" s="10"/>
      <c r="AV277" s="10"/>
      <c r="AW277" s="10"/>
      <c r="AX277" s="10"/>
      <c r="AY277" s="10"/>
      <c r="AZ277" s="10"/>
      <c r="BA277" s="10"/>
      <c r="BB277" s="10"/>
      <c r="BC277" s="10"/>
      <c r="BD277" s="10"/>
    </row>
    <row r="278" spans="1:56" ht="30" x14ac:dyDescent="0.25">
      <c r="A278" s="4" t="s">
        <v>618</v>
      </c>
      <c r="B278" s="4"/>
      <c r="C278" s="4" t="s">
        <v>46</v>
      </c>
      <c r="D278" s="4" t="s">
        <v>47</v>
      </c>
      <c r="E278" s="5" t="s">
        <v>34</v>
      </c>
      <c r="F278" s="4" t="s">
        <v>657</v>
      </c>
      <c r="G278" s="4" t="s">
        <v>26</v>
      </c>
      <c r="H278" s="4" t="s">
        <v>1053</v>
      </c>
      <c r="I278" s="12"/>
      <c r="J278" s="12"/>
      <c r="K278" s="12"/>
      <c r="L278" s="12"/>
      <c r="M278" s="64"/>
      <c r="N278" s="12"/>
      <c r="O278" s="12"/>
      <c r="P278" s="12"/>
      <c r="Q278" s="12"/>
      <c r="R278" s="12"/>
      <c r="S278" s="12"/>
      <c r="T278" s="12"/>
      <c r="U278" s="12"/>
      <c r="V278" s="12"/>
      <c r="W278" s="7"/>
      <c r="X278" s="12"/>
      <c r="Y278" s="7"/>
      <c r="Z278" s="7"/>
      <c r="AA278" s="7"/>
      <c r="AB278" s="8">
        <f>1/(1*10^-5)</f>
        <v>99999.999999999985</v>
      </c>
      <c r="AC278" s="8"/>
      <c r="AD278" s="4"/>
      <c r="AE278" s="4"/>
      <c r="AF278" s="4"/>
      <c r="AG278" s="4"/>
      <c r="AH278" s="9"/>
      <c r="AI278" s="9"/>
      <c r="AJ278" s="9"/>
      <c r="AK278" s="9" t="s">
        <v>30</v>
      </c>
      <c r="AL278" s="10"/>
      <c r="AM278" s="10"/>
      <c r="AN278" s="10"/>
      <c r="AO278" s="10"/>
      <c r="AP278" s="10"/>
      <c r="AQ278" s="11">
        <v>13</v>
      </c>
      <c r="AR278" s="4"/>
      <c r="AS278" s="10"/>
      <c r="AT278" s="10"/>
      <c r="AU278" s="10"/>
      <c r="AV278" s="10"/>
      <c r="AW278" s="10"/>
      <c r="AX278" s="10"/>
      <c r="AY278" s="10"/>
      <c r="AZ278" s="10"/>
      <c r="BA278" s="10"/>
      <c r="BB278" s="10"/>
      <c r="BC278" s="10"/>
      <c r="BD278" s="10"/>
    </row>
    <row r="279" spans="1:56" ht="30" x14ac:dyDescent="0.25">
      <c r="A279" s="4" t="s">
        <v>660</v>
      </c>
      <c r="B279" s="4"/>
      <c r="C279" s="4" t="s">
        <v>46</v>
      </c>
      <c r="D279" s="4" t="s">
        <v>47</v>
      </c>
      <c r="E279" s="5" t="s">
        <v>34</v>
      </c>
      <c r="F279" s="4" t="s">
        <v>657</v>
      </c>
      <c r="G279" s="4" t="s">
        <v>26</v>
      </c>
      <c r="H279" s="4" t="s">
        <v>1053</v>
      </c>
      <c r="I279" s="12"/>
      <c r="J279" s="12"/>
      <c r="K279" s="12"/>
      <c r="L279" s="12"/>
      <c r="M279" s="64"/>
      <c r="N279" s="12"/>
      <c r="O279" s="12"/>
      <c r="P279" s="12"/>
      <c r="Q279" s="12"/>
      <c r="R279" s="12"/>
      <c r="S279" s="12"/>
      <c r="T279" s="12"/>
      <c r="U279" s="12"/>
      <c r="V279" s="12"/>
      <c r="W279" s="7"/>
      <c r="X279" s="12"/>
      <c r="Y279" s="7"/>
      <c r="Z279" s="7"/>
      <c r="AA279" s="7"/>
      <c r="AB279" s="8">
        <f>1/(1*10^-5)</f>
        <v>99999.999999999985</v>
      </c>
      <c r="AC279" s="8"/>
      <c r="AD279" s="4"/>
      <c r="AE279" s="4"/>
      <c r="AF279" s="4"/>
      <c r="AG279" s="4"/>
      <c r="AH279" s="9"/>
      <c r="AI279" s="9"/>
      <c r="AJ279" s="9"/>
      <c r="AK279" s="9" t="s">
        <v>30</v>
      </c>
      <c r="AL279" s="10"/>
      <c r="AM279" s="10"/>
      <c r="AN279" s="10"/>
      <c r="AO279" s="10"/>
      <c r="AP279" s="10"/>
      <c r="AQ279" s="11">
        <v>13</v>
      </c>
      <c r="AR279" s="4"/>
      <c r="AS279" s="10"/>
      <c r="AT279" s="10"/>
      <c r="AU279" s="10"/>
      <c r="AV279" s="10"/>
      <c r="AW279" s="10"/>
      <c r="AX279" s="10"/>
      <c r="AY279" s="10"/>
      <c r="AZ279" s="10"/>
      <c r="BA279" s="10"/>
      <c r="BB279" s="10"/>
      <c r="BC279" s="10"/>
      <c r="BD279" s="10"/>
    </row>
    <row r="280" spans="1:56" ht="30" x14ac:dyDescent="0.25">
      <c r="A280" s="4" t="s">
        <v>593</v>
      </c>
      <c r="B280" s="4"/>
      <c r="C280" s="4" t="s">
        <v>46</v>
      </c>
      <c r="D280" s="4" t="s">
        <v>165</v>
      </c>
      <c r="E280" s="5" t="s">
        <v>34</v>
      </c>
      <c r="F280" s="4" t="s">
        <v>661</v>
      </c>
      <c r="G280" s="4" t="s">
        <v>26</v>
      </c>
      <c r="H280" s="4" t="s">
        <v>1053</v>
      </c>
      <c r="I280" s="12"/>
      <c r="J280" s="12"/>
      <c r="K280" s="12"/>
      <c r="L280" s="12"/>
      <c r="M280" s="64"/>
      <c r="N280" s="12"/>
      <c r="O280" s="12"/>
      <c r="P280" s="12"/>
      <c r="Q280" s="12"/>
      <c r="R280" s="12"/>
      <c r="S280" s="12"/>
      <c r="T280" s="12"/>
      <c r="U280" s="12"/>
      <c r="V280" s="12"/>
      <c r="W280" s="7"/>
      <c r="X280" s="12"/>
      <c r="Y280" s="7">
        <v>8</v>
      </c>
      <c r="Z280" s="7"/>
      <c r="AA280" s="7"/>
      <c r="AB280" s="8">
        <f>1/(5*10^-7)</f>
        <v>2000000</v>
      </c>
      <c r="AC280" s="8"/>
      <c r="AD280" s="4"/>
      <c r="AE280" s="4"/>
      <c r="AF280" s="4"/>
      <c r="AG280" s="4"/>
      <c r="AH280" s="9"/>
      <c r="AI280" s="9"/>
      <c r="AJ280" s="9"/>
      <c r="AK280" s="9" t="s">
        <v>30</v>
      </c>
      <c r="AL280" s="10"/>
      <c r="AM280" s="10"/>
      <c r="AN280" s="10"/>
      <c r="AO280" s="10"/>
      <c r="AP280" s="10"/>
      <c r="AQ280" s="11">
        <v>13</v>
      </c>
      <c r="AR280" s="4"/>
      <c r="AS280" s="10"/>
      <c r="AT280" s="10"/>
      <c r="AU280" s="10"/>
      <c r="AV280" s="10"/>
      <c r="AW280" s="10"/>
      <c r="AX280" s="10"/>
      <c r="AY280" s="10"/>
      <c r="AZ280" s="10"/>
      <c r="BA280" s="10"/>
      <c r="BB280" s="10"/>
      <c r="BC280" s="10"/>
      <c r="BD280" s="10"/>
    </row>
    <row r="281" spans="1:56" ht="30" x14ac:dyDescent="0.25">
      <c r="A281" s="4" t="s">
        <v>614</v>
      </c>
      <c r="B281" s="4"/>
      <c r="C281" s="4" t="s">
        <v>46</v>
      </c>
      <c r="D281" s="4" t="s">
        <v>165</v>
      </c>
      <c r="E281" s="5" t="s">
        <v>34</v>
      </c>
      <c r="F281" s="4" t="s">
        <v>661</v>
      </c>
      <c r="G281" s="4" t="s">
        <v>26</v>
      </c>
      <c r="H281" s="4" t="s">
        <v>638</v>
      </c>
      <c r="I281" s="12"/>
      <c r="J281" s="12"/>
      <c r="K281" s="12"/>
      <c r="L281" s="12"/>
      <c r="M281" s="64"/>
      <c r="N281" s="12"/>
      <c r="O281" s="12"/>
      <c r="P281" s="12"/>
      <c r="Q281" s="12"/>
      <c r="R281" s="12"/>
      <c r="S281" s="12"/>
      <c r="T281" s="12"/>
      <c r="U281" s="12"/>
      <c r="V281" s="12"/>
      <c r="W281" s="7"/>
      <c r="X281" s="12"/>
      <c r="Y281" s="7">
        <f t="shared" ref="Y281:Y292" si="3">$Y$280</f>
        <v>8</v>
      </c>
      <c r="Z281" s="7"/>
      <c r="AA281" s="7"/>
      <c r="AB281" s="8">
        <f>1/(4.67*10^-5)</f>
        <v>21413.276231263382</v>
      </c>
      <c r="AC281" s="8"/>
      <c r="AD281" s="4"/>
      <c r="AE281" s="4"/>
      <c r="AF281" s="4"/>
      <c r="AG281" s="4"/>
      <c r="AH281" s="9"/>
      <c r="AI281" s="9"/>
      <c r="AJ281" s="9"/>
      <c r="AK281" s="9" t="s">
        <v>30</v>
      </c>
      <c r="AL281" s="10"/>
      <c r="AM281" s="10"/>
      <c r="AN281" s="10"/>
      <c r="AO281" s="10"/>
      <c r="AP281" s="10"/>
      <c r="AQ281" s="11">
        <v>13</v>
      </c>
      <c r="AR281" s="4"/>
      <c r="AS281" s="10"/>
      <c r="AT281" s="10"/>
      <c r="AU281" s="10"/>
      <c r="AV281" s="10"/>
      <c r="AW281" s="10"/>
      <c r="AX281" s="10"/>
      <c r="AY281" s="10"/>
      <c r="AZ281" s="10"/>
      <c r="BA281" s="10"/>
      <c r="BB281" s="10"/>
      <c r="BC281" s="10"/>
      <c r="BD281" s="10"/>
    </row>
    <row r="282" spans="1:56" ht="30" x14ac:dyDescent="0.25">
      <c r="A282" s="4" t="s">
        <v>583</v>
      </c>
      <c r="B282" s="4"/>
      <c r="C282" s="4" t="s">
        <v>46</v>
      </c>
      <c r="D282" s="4" t="s">
        <v>165</v>
      </c>
      <c r="E282" s="5" t="s">
        <v>34</v>
      </c>
      <c r="F282" s="4" t="s">
        <v>661</v>
      </c>
      <c r="G282" s="4" t="s">
        <v>26</v>
      </c>
      <c r="H282" s="4" t="s">
        <v>637</v>
      </c>
      <c r="I282" s="12"/>
      <c r="J282" s="12"/>
      <c r="K282" s="12"/>
      <c r="L282" s="12"/>
      <c r="M282" s="64"/>
      <c r="N282" s="12"/>
      <c r="O282" s="12"/>
      <c r="P282" s="12"/>
      <c r="Q282" s="12"/>
      <c r="R282" s="12"/>
      <c r="S282" s="12"/>
      <c r="T282" s="12"/>
      <c r="U282" s="12"/>
      <c r="V282" s="12"/>
      <c r="W282" s="7"/>
      <c r="X282" s="12"/>
      <c r="Y282" s="7">
        <f t="shared" si="3"/>
        <v>8</v>
      </c>
      <c r="Z282" s="7"/>
      <c r="AA282" s="7"/>
      <c r="AB282" s="8">
        <f>1/(5.99*10^-6)</f>
        <v>166944.9081803005</v>
      </c>
      <c r="AC282" s="8"/>
      <c r="AD282" s="4"/>
      <c r="AE282" s="4"/>
      <c r="AF282" s="4"/>
      <c r="AG282" s="4"/>
      <c r="AH282" s="9"/>
      <c r="AI282" s="9"/>
      <c r="AJ282" s="9"/>
      <c r="AK282" s="9" t="s">
        <v>30</v>
      </c>
      <c r="AL282" s="10"/>
      <c r="AM282" s="10"/>
      <c r="AN282" s="10"/>
      <c r="AO282" s="10"/>
      <c r="AP282" s="10"/>
      <c r="AQ282" s="11">
        <v>13</v>
      </c>
      <c r="AR282" s="4"/>
      <c r="AS282" s="10"/>
      <c r="AT282" s="10"/>
      <c r="AU282" s="10"/>
      <c r="AV282" s="10"/>
      <c r="AW282" s="10"/>
      <c r="AX282" s="10"/>
      <c r="AY282" s="10"/>
      <c r="AZ282" s="10"/>
      <c r="BA282" s="10"/>
      <c r="BB282" s="10"/>
      <c r="BC282" s="10"/>
      <c r="BD282" s="10"/>
    </row>
    <row r="283" spans="1:56" ht="30" x14ac:dyDescent="0.25">
      <c r="A283" s="4" t="s">
        <v>627</v>
      </c>
      <c r="B283" s="4"/>
      <c r="C283" s="4" t="s">
        <v>46</v>
      </c>
      <c r="D283" s="4" t="s">
        <v>165</v>
      </c>
      <c r="E283" s="5" t="s">
        <v>34</v>
      </c>
      <c r="F283" s="4" t="s">
        <v>661</v>
      </c>
      <c r="G283" s="4" t="s">
        <v>26</v>
      </c>
      <c r="H283" s="4" t="s">
        <v>639</v>
      </c>
      <c r="I283" s="12"/>
      <c r="J283" s="12"/>
      <c r="K283" s="12"/>
      <c r="L283" s="12"/>
      <c r="M283" s="64"/>
      <c r="N283" s="12"/>
      <c r="O283" s="12"/>
      <c r="P283" s="12"/>
      <c r="Q283" s="12"/>
      <c r="R283" s="12"/>
      <c r="S283" s="12"/>
      <c r="T283" s="12"/>
      <c r="U283" s="12"/>
      <c r="V283" s="12"/>
      <c r="W283" s="7"/>
      <c r="X283" s="12"/>
      <c r="Y283" s="7">
        <f t="shared" si="3"/>
        <v>8</v>
      </c>
      <c r="Z283" s="7"/>
      <c r="AA283" s="7"/>
      <c r="AB283" s="8">
        <f>1/(1*10^-5)</f>
        <v>99999.999999999985</v>
      </c>
      <c r="AC283" s="8"/>
      <c r="AD283" s="4"/>
      <c r="AE283" s="4"/>
      <c r="AF283" s="4"/>
      <c r="AG283" s="4"/>
      <c r="AH283" s="9"/>
      <c r="AI283" s="9"/>
      <c r="AJ283" s="9"/>
      <c r="AK283" s="9" t="s">
        <v>30</v>
      </c>
      <c r="AL283" s="10"/>
      <c r="AM283" s="10"/>
      <c r="AN283" s="10"/>
      <c r="AO283" s="10"/>
      <c r="AP283" s="10"/>
      <c r="AQ283" s="11">
        <v>13</v>
      </c>
      <c r="AR283" s="4"/>
      <c r="AS283" s="10"/>
      <c r="AT283" s="10"/>
      <c r="AU283" s="10"/>
      <c r="AV283" s="10"/>
      <c r="AW283" s="10"/>
      <c r="AX283" s="10"/>
      <c r="AY283" s="10"/>
      <c r="AZ283" s="10"/>
      <c r="BA283" s="10"/>
      <c r="BB283" s="10"/>
      <c r="BC283" s="10"/>
      <c r="BD283" s="10"/>
    </row>
    <row r="284" spans="1:56" ht="30" x14ac:dyDescent="0.25">
      <c r="A284" s="4" t="s">
        <v>662</v>
      </c>
      <c r="B284" s="4"/>
      <c r="C284" s="4" t="s">
        <v>46</v>
      </c>
      <c r="D284" s="4" t="s">
        <v>165</v>
      </c>
      <c r="E284" s="5" t="s">
        <v>34</v>
      </c>
      <c r="F284" s="4" t="s">
        <v>661</v>
      </c>
      <c r="G284" s="4" t="s">
        <v>26</v>
      </c>
      <c r="H284" s="4" t="s">
        <v>1053</v>
      </c>
      <c r="I284" s="12"/>
      <c r="J284" s="12"/>
      <c r="K284" s="12"/>
      <c r="L284" s="12"/>
      <c r="M284" s="64"/>
      <c r="N284" s="12"/>
      <c r="O284" s="12"/>
      <c r="P284" s="12"/>
      <c r="Q284" s="12"/>
      <c r="R284" s="12"/>
      <c r="S284" s="12"/>
      <c r="T284" s="12"/>
      <c r="U284" s="12"/>
      <c r="V284" s="12"/>
      <c r="W284" s="7"/>
      <c r="X284" s="12"/>
      <c r="Y284" s="7">
        <f t="shared" si="3"/>
        <v>8</v>
      </c>
      <c r="Z284" s="7"/>
      <c r="AA284" s="7"/>
      <c r="AB284" s="8">
        <f>1/(3.37*10^-6)</f>
        <v>296735.90504451038</v>
      </c>
      <c r="AC284" s="8"/>
      <c r="AD284" s="4"/>
      <c r="AE284" s="4"/>
      <c r="AF284" s="4"/>
      <c r="AG284" s="4"/>
      <c r="AH284" s="9"/>
      <c r="AI284" s="9"/>
      <c r="AJ284" s="9"/>
      <c r="AK284" s="9" t="s">
        <v>30</v>
      </c>
      <c r="AL284" s="10"/>
      <c r="AM284" s="10"/>
      <c r="AN284" s="10"/>
      <c r="AO284" s="10"/>
      <c r="AP284" s="10"/>
      <c r="AQ284" s="11">
        <v>13</v>
      </c>
      <c r="AR284" s="4"/>
      <c r="AS284" s="10"/>
      <c r="AT284" s="10"/>
      <c r="AU284" s="10"/>
      <c r="AV284" s="10"/>
      <c r="AW284" s="10"/>
      <c r="AX284" s="10"/>
      <c r="AY284" s="10"/>
      <c r="AZ284" s="10"/>
      <c r="BA284" s="10"/>
      <c r="BB284" s="10"/>
      <c r="BC284" s="10"/>
      <c r="BD284" s="10"/>
    </row>
    <row r="285" spans="1:56" ht="30" x14ac:dyDescent="0.25">
      <c r="A285" s="4" t="s">
        <v>663</v>
      </c>
      <c r="B285" s="4"/>
      <c r="C285" s="4" t="s">
        <v>46</v>
      </c>
      <c r="D285" s="4" t="s">
        <v>165</v>
      </c>
      <c r="E285" s="5" t="s">
        <v>34</v>
      </c>
      <c r="F285" s="4" t="s">
        <v>661</v>
      </c>
      <c r="G285" s="4" t="s">
        <v>26</v>
      </c>
      <c r="H285" s="4" t="s">
        <v>651</v>
      </c>
      <c r="I285" s="12"/>
      <c r="J285" s="12"/>
      <c r="K285" s="12"/>
      <c r="L285" s="12"/>
      <c r="M285" s="64"/>
      <c r="N285" s="12"/>
      <c r="O285" s="12"/>
      <c r="P285" s="12"/>
      <c r="Q285" s="12"/>
      <c r="R285" s="12"/>
      <c r="S285" s="12"/>
      <c r="T285" s="12"/>
      <c r="U285" s="12"/>
      <c r="V285" s="12"/>
      <c r="W285" s="7"/>
      <c r="X285" s="12"/>
      <c r="Y285" s="7">
        <f t="shared" si="3"/>
        <v>8</v>
      </c>
      <c r="Z285" s="7"/>
      <c r="AA285" s="7"/>
      <c r="AB285" s="8">
        <f>1/(3.37*10^-6)</f>
        <v>296735.90504451038</v>
      </c>
      <c r="AC285" s="8"/>
      <c r="AD285" s="4"/>
      <c r="AE285" s="4"/>
      <c r="AF285" s="4"/>
      <c r="AG285" s="4"/>
      <c r="AH285" s="9"/>
      <c r="AI285" s="9"/>
      <c r="AJ285" s="9"/>
      <c r="AK285" s="9" t="s">
        <v>30</v>
      </c>
      <c r="AL285" s="10"/>
      <c r="AM285" s="10"/>
      <c r="AN285" s="10"/>
      <c r="AO285" s="10"/>
      <c r="AP285" s="10"/>
      <c r="AQ285" s="11">
        <v>13</v>
      </c>
      <c r="AR285" s="4"/>
      <c r="AS285" s="10"/>
      <c r="AT285" s="10"/>
      <c r="AU285" s="10"/>
      <c r="AV285" s="10"/>
      <c r="AW285" s="10"/>
      <c r="AX285" s="10"/>
      <c r="AY285" s="10"/>
      <c r="AZ285" s="10"/>
      <c r="BA285" s="10"/>
      <c r="BB285" s="10"/>
      <c r="BC285" s="10"/>
      <c r="BD285" s="10"/>
    </row>
    <row r="286" spans="1:56" ht="30" x14ac:dyDescent="0.25">
      <c r="A286" s="4" t="s">
        <v>664</v>
      </c>
      <c r="B286" s="4"/>
      <c r="C286" s="4" t="s">
        <v>46</v>
      </c>
      <c r="D286" s="4" t="s">
        <v>165</v>
      </c>
      <c r="E286" s="5" t="s">
        <v>34</v>
      </c>
      <c r="F286" s="4" t="s">
        <v>661</v>
      </c>
      <c r="G286" s="4" t="s">
        <v>26</v>
      </c>
      <c r="H286" s="4" t="s">
        <v>1053</v>
      </c>
      <c r="I286" s="12"/>
      <c r="J286" s="12"/>
      <c r="K286" s="12"/>
      <c r="L286" s="12"/>
      <c r="M286" s="64"/>
      <c r="N286" s="12"/>
      <c r="O286" s="12"/>
      <c r="P286" s="12"/>
      <c r="Q286" s="12"/>
      <c r="R286" s="12"/>
      <c r="S286" s="12"/>
      <c r="T286" s="12"/>
      <c r="U286" s="12"/>
      <c r="V286" s="12"/>
      <c r="W286" s="7"/>
      <c r="X286" s="12"/>
      <c r="Y286" s="7">
        <f t="shared" si="3"/>
        <v>8</v>
      </c>
      <c r="Z286" s="7"/>
      <c r="AA286" s="7"/>
      <c r="AB286" s="8">
        <f>1/(1.39*10^-6)</f>
        <v>719424.46043165482</v>
      </c>
      <c r="AC286" s="8"/>
      <c r="AD286" s="4"/>
      <c r="AE286" s="4"/>
      <c r="AF286" s="4"/>
      <c r="AG286" s="4"/>
      <c r="AH286" s="9"/>
      <c r="AI286" s="9"/>
      <c r="AJ286" s="9"/>
      <c r="AK286" s="9" t="s">
        <v>30</v>
      </c>
      <c r="AL286" s="10"/>
      <c r="AM286" s="10"/>
      <c r="AN286" s="10"/>
      <c r="AO286" s="10"/>
      <c r="AP286" s="10"/>
      <c r="AQ286" s="11">
        <v>13</v>
      </c>
      <c r="AR286" s="4"/>
      <c r="AS286" s="10"/>
      <c r="AT286" s="10"/>
      <c r="AU286" s="10"/>
      <c r="AV286" s="10"/>
      <c r="AW286" s="10"/>
      <c r="AX286" s="10"/>
      <c r="AY286" s="10"/>
      <c r="AZ286" s="10"/>
      <c r="BA286" s="10"/>
      <c r="BB286" s="10"/>
      <c r="BC286" s="10"/>
      <c r="BD286" s="10"/>
    </row>
    <row r="287" spans="1:56" ht="30" x14ac:dyDescent="0.25">
      <c r="A287" s="4" t="s">
        <v>665</v>
      </c>
      <c r="B287" s="4"/>
      <c r="C287" s="4" t="s">
        <v>46</v>
      </c>
      <c r="D287" s="4" t="s">
        <v>165</v>
      </c>
      <c r="E287" s="5" t="s">
        <v>34</v>
      </c>
      <c r="F287" s="4" t="s">
        <v>661</v>
      </c>
      <c r="G287" s="4" t="s">
        <v>26</v>
      </c>
      <c r="H287" s="4" t="s">
        <v>1053</v>
      </c>
      <c r="I287" s="12"/>
      <c r="J287" s="12"/>
      <c r="K287" s="12"/>
      <c r="L287" s="12"/>
      <c r="M287" s="64"/>
      <c r="N287" s="12"/>
      <c r="O287" s="12"/>
      <c r="P287" s="12"/>
      <c r="Q287" s="12"/>
      <c r="R287" s="12"/>
      <c r="S287" s="12"/>
      <c r="T287" s="12"/>
      <c r="U287" s="12"/>
      <c r="V287" s="12"/>
      <c r="W287" s="7"/>
      <c r="X287" s="12"/>
      <c r="Y287" s="7">
        <f t="shared" si="3"/>
        <v>8</v>
      </c>
      <c r="Z287" s="7"/>
      <c r="AA287" s="7"/>
      <c r="AB287" s="8">
        <f>1/(7.29*10^-6)</f>
        <v>137174.21124828534</v>
      </c>
      <c r="AC287" s="8"/>
      <c r="AD287" s="4"/>
      <c r="AE287" s="4"/>
      <c r="AF287" s="4"/>
      <c r="AG287" s="4"/>
      <c r="AH287" s="9"/>
      <c r="AI287" s="9"/>
      <c r="AJ287" s="9"/>
      <c r="AK287" s="9" t="s">
        <v>30</v>
      </c>
      <c r="AL287" s="10"/>
      <c r="AM287" s="10"/>
      <c r="AN287" s="10"/>
      <c r="AO287" s="10"/>
      <c r="AP287" s="10"/>
      <c r="AQ287" s="11">
        <v>13</v>
      </c>
      <c r="AR287" s="4"/>
      <c r="AS287" s="10"/>
      <c r="AT287" s="10"/>
      <c r="AU287" s="10"/>
      <c r="AV287" s="10"/>
      <c r="AW287" s="10"/>
      <c r="AX287" s="10"/>
      <c r="AY287" s="10"/>
      <c r="AZ287" s="10"/>
      <c r="BA287" s="10"/>
      <c r="BB287" s="10"/>
      <c r="BC287" s="10"/>
      <c r="BD287" s="10"/>
    </row>
    <row r="288" spans="1:56" ht="30" x14ac:dyDescent="0.25">
      <c r="A288" s="4" t="s">
        <v>603</v>
      </c>
      <c r="B288" s="4"/>
      <c r="C288" s="4" t="s">
        <v>46</v>
      </c>
      <c r="D288" s="4" t="s">
        <v>165</v>
      </c>
      <c r="E288" s="5" t="s">
        <v>34</v>
      </c>
      <c r="F288" s="4" t="s">
        <v>661</v>
      </c>
      <c r="G288" s="4" t="s">
        <v>26</v>
      </c>
      <c r="H288" s="4" t="s">
        <v>1053</v>
      </c>
      <c r="I288" s="12"/>
      <c r="J288" s="12"/>
      <c r="K288" s="12"/>
      <c r="L288" s="12"/>
      <c r="M288" s="64"/>
      <c r="N288" s="12"/>
      <c r="O288" s="12"/>
      <c r="P288" s="12"/>
      <c r="Q288" s="12"/>
      <c r="R288" s="12"/>
      <c r="S288" s="12"/>
      <c r="T288" s="12"/>
      <c r="U288" s="12"/>
      <c r="V288" s="12"/>
      <c r="W288" s="7"/>
      <c r="X288" s="12"/>
      <c r="Y288" s="7">
        <f t="shared" si="3"/>
        <v>8</v>
      </c>
      <c r="Z288" s="7"/>
      <c r="AA288" s="7"/>
      <c r="AB288" s="8">
        <f>1/(1*10^-5)</f>
        <v>99999.999999999985</v>
      </c>
      <c r="AC288" s="8"/>
      <c r="AD288" s="4"/>
      <c r="AE288" s="4"/>
      <c r="AF288" s="4"/>
      <c r="AG288" s="4"/>
      <c r="AH288" s="9"/>
      <c r="AI288" s="9"/>
      <c r="AJ288" s="9"/>
      <c r="AK288" s="9" t="s">
        <v>30</v>
      </c>
      <c r="AL288" s="10"/>
      <c r="AM288" s="10"/>
      <c r="AN288" s="10"/>
      <c r="AO288" s="10"/>
      <c r="AP288" s="10"/>
      <c r="AQ288" s="11">
        <v>13</v>
      </c>
      <c r="AR288" s="4"/>
      <c r="AS288" s="10"/>
      <c r="AT288" s="10"/>
      <c r="AU288" s="10"/>
      <c r="AV288" s="10"/>
      <c r="AW288" s="10"/>
      <c r="AX288" s="10"/>
      <c r="AY288" s="10"/>
      <c r="AZ288" s="10"/>
      <c r="BA288" s="10"/>
      <c r="BB288" s="10"/>
      <c r="BC288" s="10"/>
      <c r="BD288" s="10"/>
    </row>
    <row r="289" spans="1:56" ht="30" x14ac:dyDescent="0.25">
      <c r="A289" s="4" t="s">
        <v>586</v>
      </c>
      <c r="B289" s="4"/>
      <c r="C289" s="4" t="s">
        <v>46</v>
      </c>
      <c r="D289" s="4" t="s">
        <v>165</v>
      </c>
      <c r="E289" s="5" t="s">
        <v>34</v>
      </c>
      <c r="F289" s="4" t="s">
        <v>661</v>
      </c>
      <c r="G289" s="4" t="s">
        <v>26</v>
      </c>
      <c r="H289" s="4" t="s">
        <v>1053</v>
      </c>
      <c r="I289" s="12"/>
      <c r="J289" s="12"/>
      <c r="K289" s="12"/>
      <c r="L289" s="12"/>
      <c r="M289" s="64"/>
      <c r="N289" s="12"/>
      <c r="O289" s="12"/>
      <c r="P289" s="12"/>
      <c r="Q289" s="12"/>
      <c r="R289" s="12"/>
      <c r="S289" s="12"/>
      <c r="T289" s="12"/>
      <c r="U289" s="12"/>
      <c r="V289" s="12"/>
      <c r="W289" s="7"/>
      <c r="X289" s="12"/>
      <c r="Y289" s="7">
        <f t="shared" si="3"/>
        <v>8</v>
      </c>
      <c r="Z289" s="7"/>
      <c r="AA289" s="7"/>
      <c r="AB289" s="8">
        <f>1/(1*10^-5)</f>
        <v>99999.999999999985</v>
      </c>
      <c r="AC289" s="8"/>
      <c r="AD289" s="4"/>
      <c r="AE289" s="4"/>
      <c r="AF289" s="4"/>
      <c r="AG289" s="4"/>
      <c r="AH289" s="9"/>
      <c r="AI289" s="9"/>
      <c r="AJ289" s="9"/>
      <c r="AK289" s="9" t="s">
        <v>30</v>
      </c>
      <c r="AL289" s="10"/>
      <c r="AM289" s="10"/>
      <c r="AN289" s="10"/>
      <c r="AO289" s="10"/>
      <c r="AP289" s="10"/>
      <c r="AQ289" s="11">
        <v>13</v>
      </c>
      <c r="AR289" s="4"/>
      <c r="AS289" s="10"/>
      <c r="AT289" s="10"/>
      <c r="AU289" s="10"/>
      <c r="AV289" s="10"/>
      <c r="AW289" s="10"/>
      <c r="AX289" s="10"/>
      <c r="AY289" s="10"/>
      <c r="AZ289" s="10"/>
      <c r="BA289" s="10"/>
      <c r="BB289" s="10"/>
      <c r="BC289" s="10"/>
      <c r="BD289" s="10"/>
    </row>
    <row r="290" spans="1:56" ht="30" x14ac:dyDescent="0.25">
      <c r="A290" s="4" t="s">
        <v>587</v>
      </c>
      <c r="B290" s="4"/>
      <c r="C290" s="4" t="s">
        <v>46</v>
      </c>
      <c r="D290" s="4" t="s">
        <v>165</v>
      </c>
      <c r="E290" s="5" t="s">
        <v>34</v>
      </c>
      <c r="F290" s="4" t="s">
        <v>661</v>
      </c>
      <c r="G290" s="4" t="s">
        <v>26</v>
      </c>
      <c r="H290" s="4" t="s">
        <v>1053</v>
      </c>
      <c r="I290" s="12"/>
      <c r="J290" s="12"/>
      <c r="K290" s="12"/>
      <c r="L290" s="12"/>
      <c r="M290" s="64"/>
      <c r="N290" s="12"/>
      <c r="O290" s="12"/>
      <c r="P290" s="12"/>
      <c r="Q290" s="12"/>
      <c r="R290" s="12"/>
      <c r="S290" s="12"/>
      <c r="T290" s="12"/>
      <c r="U290" s="12"/>
      <c r="V290" s="12"/>
      <c r="W290" s="7"/>
      <c r="X290" s="12"/>
      <c r="Y290" s="7">
        <f t="shared" si="3"/>
        <v>8</v>
      </c>
      <c r="Z290" s="7"/>
      <c r="AA290" s="7"/>
      <c r="AB290" s="8">
        <f>1/(1.5*10^-5)</f>
        <v>66666.666666666657</v>
      </c>
      <c r="AC290" s="8"/>
      <c r="AD290" s="4"/>
      <c r="AE290" s="4"/>
      <c r="AF290" s="4"/>
      <c r="AG290" s="4"/>
      <c r="AH290" s="9"/>
      <c r="AI290" s="9"/>
      <c r="AJ290" s="9"/>
      <c r="AK290" s="9" t="s">
        <v>30</v>
      </c>
      <c r="AL290" s="10"/>
      <c r="AM290" s="10"/>
      <c r="AN290" s="10"/>
      <c r="AO290" s="10"/>
      <c r="AP290" s="10"/>
      <c r="AQ290" s="11">
        <v>13</v>
      </c>
      <c r="AR290" s="4"/>
      <c r="AS290" s="10"/>
      <c r="AT290" s="10"/>
      <c r="AU290" s="10"/>
      <c r="AV290" s="10"/>
      <c r="AW290" s="10"/>
      <c r="AX290" s="10"/>
      <c r="AY290" s="10"/>
      <c r="AZ290" s="10"/>
      <c r="BA290" s="10"/>
      <c r="BB290" s="10"/>
      <c r="BC290" s="10"/>
      <c r="BD290" s="10"/>
    </row>
    <row r="291" spans="1:56" ht="30" x14ac:dyDescent="0.25">
      <c r="A291" s="4" t="s">
        <v>590</v>
      </c>
      <c r="B291" s="4"/>
      <c r="C291" s="4" t="s">
        <v>46</v>
      </c>
      <c r="D291" s="4" t="s">
        <v>165</v>
      </c>
      <c r="E291" s="5" t="s">
        <v>34</v>
      </c>
      <c r="F291" s="4" t="s">
        <v>661</v>
      </c>
      <c r="G291" s="4" t="s">
        <v>26</v>
      </c>
      <c r="H291" s="4" t="s">
        <v>666</v>
      </c>
      <c r="I291" s="12"/>
      <c r="J291" s="12"/>
      <c r="K291" s="12"/>
      <c r="L291" s="12"/>
      <c r="M291" s="64"/>
      <c r="N291" s="12"/>
      <c r="O291" s="12"/>
      <c r="P291" s="12"/>
      <c r="Q291" s="12"/>
      <c r="R291" s="12"/>
      <c r="S291" s="12"/>
      <c r="T291" s="12"/>
      <c r="U291" s="12"/>
      <c r="V291" s="12"/>
      <c r="W291" s="7"/>
      <c r="X291" s="12"/>
      <c r="Y291" s="7">
        <f t="shared" si="3"/>
        <v>8</v>
      </c>
      <c r="Z291" s="7"/>
      <c r="AA291" s="7"/>
      <c r="AB291" s="8">
        <f>1/(1*10^-5)</f>
        <v>99999.999999999985</v>
      </c>
      <c r="AC291" s="8"/>
      <c r="AD291" s="4"/>
      <c r="AE291" s="4"/>
      <c r="AF291" s="4"/>
      <c r="AG291" s="4"/>
      <c r="AH291" s="9"/>
      <c r="AI291" s="9"/>
      <c r="AJ291" s="9"/>
      <c r="AK291" s="9" t="s">
        <v>30</v>
      </c>
      <c r="AL291" s="10"/>
      <c r="AM291" s="10"/>
      <c r="AN291" s="10"/>
      <c r="AO291" s="10"/>
      <c r="AP291" s="10"/>
      <c r="AQ291" s="11">
        <v>13</v>
      </c>
      <c r="AR291" s="4"/>
      <c r="AS291" s="10"/>
      <c r="AT291" s="10"/>
      <c r="AU291" s="10"/>
      <c r="AV291" s="10"/>
      <c r="AW291" s="10"/>
      <c r="AX291" s="10"/>
      <c r="AY291" s="10"/>
      <c r="AZ291" s="10"/>
      <c r="BA291" s="10"/>
      <c r="BB291" s="10"/>
      <c r="BC291" s="10"/>
      <c r="BD291" s="10"/>
    </row>
    <row r="292" spans="1:56" ht="30" x14ac:dyDescent="0.25">
      <c r="A292" s="4" t="s">
        <v>618</v>
      </c>
      <c r="B292" s="4"/>
      <c r="C292" s="4" t="s">
        <v>46</v>
      </c>
      <c r="D292" s="4" t="s">
        <v>165</v>
      </c>
      <c r="E292" s="5" t="s">
        <v>34</v>
      </c>
      <c r="F292" s="4" t="s">
        <v>661</v>
      </c>
      <c r="G292" s="4" t="s">
        <v>26</v>
      </c>
      <c r="H292" s="4" t="s">
        <v>637</v>
      </c>
      <c r="I292" s="12"/>
      <c r="J292" s="12"/>
      <c r="K292" s="12"/>
      <c r="L292" s="12"/>
      <c r="M292" s="64"/>
      <c r="N292" s="12"/>
      <c r="O292" s="12"/>
      <c r="P292" s="12"/>
      <c r="Q292" s="12"/>
      <c r="R292" s="12"/>
      <c r="S292" s="12"/>
      <c r="T292" s="12"/>
      <c r="U292" s="12"/>
      <c r="V292" s="12"/>
      <c r="W292" s="7"/>
      <c r="X292" s="12"/>
      <c r="Y292" s="7">
        <f t="shared" si="3"/>
        <v>8</v>
      </c>
      <c r="Z292" s="7"/>
      <c r="AA292" s="7"/>
      <c r="AB292" s="8">
        <f>1/(1*10^-5)</f>
        <v>99999.999999999985</v>
      </c>
      <c r="AC292" s="8"/>
      <c r="AD292" s="4"/>
      <c r="AE292" s="4"/>
      <c r="AF292" s="4"/>
      <c r="AG292" s="4"/>
      <c r="AH292" s="9"/>
      <c r="AI292" s="9"/>
      <c r="AJ292" s="9"/>
      <c r="AK292" s="9" t="s">
        <v>30</v>
      </c>
      <c r="AL292" s="10"/>
      <c r="AM292" s="10"/>
      <c r="AN292" s="10"/>
      <c r="AO292" s="10"/>
      <c r="AP292" s="10"/>
      <c r="AQ292" s="11">
        <v>13</v>
      </c>
      <c r="AR292" s="4"/>
      <c r="AS292" s="10"/>
      <c r="AT292" s="10"/>
      <c r="AU292" s="10"/>
      <c r="AV292" s="10"/>
      <c r="AW292" s="10"/>
      <c r="AX292" s="10"/>
      <c r="AY292" s="10"/>
      <c r="AZ292" s="10"/>
      <c r="BA292" s="10"/>
      <c r="BB292" s="10"/>
      <c r="BC292" s="10"/>
      <c r="BD292" s="10"/>
    </row>
    <row r="293" spans="1:56" ht="30" x14ac:dyDescent="0.25">
      <c r="A293" s="20" t="s">
        <v>593</v>
      </c>
      <c r="B293" s="23"/>
      <c r="C293" s="4" t="s">
        <v>22</v>
      </c>
      <c r="D293" s="4" t="s">
        <v>33</v>
      </c>
      <c r="E293" s="5" t="s">
        <v>34</v>
      </c>
      <c r="F293" s="4" t="s">
        <v>667</v>
      </c>
      <c r="G293" s="4" t="s">
        <v>26</v>
      </c>
      <c r="H293" s="4" t="s">
        <v>1053</v>
      </c>
      <c r="I293" s="12"/>
      <c r="J293" s="12"/>
      <c r="K293" s="12"/>
      <c r="L293" s="12"/>
      <c r="M293" s="64"/>
      <c r="N293" s="12"/>
      <c r="O293" s="12"/>
      <c r="P293" s="12"/>
      <c r="Q293" s="12"/>
      <c r="R293" s="12"/>
      <c r="S293" s="12"/>
      <c r="T293" s="12"/>
      <c r="U293" s="12"/>
      <c r="V293" s="12"/>
      <c r="W293" s="7"/>
      <c r="X293" s="12"/>
      <c r="Y293" s="7">
        <v>8</v>
      </c>
      <c r="Z293" s="7"/>
      <c r="AA293" s="7"/>
      <c r="AB293" s="8">
        <f>1/(5*10^-7)</f>
        <v>2000000</v>
      </c>
      <c r="AC293" s="8"/>
      <c r="AD293" s="4"/>
      <c r="AE293" s="4"/>
      <c r="AF293" s="4"/>
      <c r="AG293" s="4"/>
      <c r="AH293" s="9"/>
      <c r="AI293" s="9"/>
      <c r="AJ293" s="9"/>
      <c r="AK293" s="9" t="s">
        <v>30</v>
      </c>
      <c r="AL293" s="10"/>
      <c r="AM293" s="10"/>
      <c r="AN293" s="10"/>
      <c r="AO293" s="10"/>
      <c r="AP293" s="10"/>
      <c r="AQ293" s="11">
        <v>13</v>
      </c>
      <c r="AR293" s="4"/>
      <c r="AS293" s="10"/>
      <c r="AT293" s="10"/>
      <c r="AU293" s="10"/>
      <c r="AV293" s="10"/>
      <c r="AW293" s="10"/>
      <c r="AX293" s="10"/>
      <c r="AY293" s="10"/>
      <c r="AZ293" s="10"/>
      <c r="BA293" s="10"/>
      <c r="BB293" s="10"/>
      <c r="BC293" s="10"/>
      <c r="BD293" s="10"/>
    </row>
    <row r="294" spans="1:56" ht="30" x14ac:dyDescent="0.25">
      <c r="A294" s="19" t="s">
        <v>81</v>
      </c>
      <c r="B294" s="4"/>
      <c r="C294" s="4" t="s">
        <v>22</v>
      </c>
      <c r="D294" s="4" t="s">
        <v>33</v>
      </c>
      <c r="E294" s="5" t="s">
        <v>34</v>
      </c>
      <c r="F294" s="4" t="s">
        <v>667</v>
      </c>
      <c r="G294" s="4" t="s">
        <v>26</v>
      </c>
      <c r="H294" s="4" t="s">
        <v>1053</v>
      </c>
      <c r="I294" s="12"/>
      <c r="J294" s="12"/>
      <c r="K294" s="12"/>
      <c r="L294" s="12"/>
      <c r="M294" s="64"/>
      <c r="N294" s="12"/>
      <c r="O294" s="12"/>
      <c r="P294" s="12"/>
      <c r="Q294" s="12"/>
      <c r="R294" s="12"/>
      <c r="S294" s="12"/>
      <c r="T294" s="12"/>
      <c r="U294" s="12"/>
      <c r="V294" s="12"/>
      <c r="W294" s="7"/>
      <c r="X294" s="12"/>
      <c r="Y294" s="7">
        <f t="shared" ref="Y294:Y308" si="4">$Y$293</f>
        <v>8</v>
      </c>
      <c r="Z294" s="7"/>
      <c r="AA294" s="7"/>
      <c r="AB294" s="8">
        <f>1/(8*10^-6)</f>
        <v>125000</v>
      </c>
      <c r="AC294" s="8"/>
      <c r="AD294" s="4"/>
      <c r="AE294" s="4"/>
      <c r="AF294" s="4"/>
      <c r="AG294" s="4"/>
      <c r="AH294" s="9"/>
      <c r="AI294" s="9"/>
      <c r="AJ294" s="9"/>
      <c r="AK294" s="9" t="s">
        <v>30</v>
      </c>
      <c r="AL294" s="10"/>
      <c r="AM294" s="10"/>
      <c r="AN294" s="10"/>
      <c r="AO294" s="10"/>
      <c r="AP294" s="10"/>
      <c r="AQ294" s="11">
        <v>13</v>
      </c>
      <c r="AR294" s="4"/>
      <c r="AS294" s="10"/>
      <c r="AT294" s="10"/>
      <c r="AU294" s="10"/>
      <c r="AV294" s="10"/>
      <c r="AW294" s="10"/>
      <c r="AX294" s="10"/>
      <c r="AY294" s="10"/>
      <c r="AZ294" s="10"/>
      <c r="BA294" s="10"/>
      <c r="BB294" s="10"/>
      <c r="BC294" s="10"/>
      <c r="BD294" s="10"/>
    </row>
    <row r="295" spans="1:56" ht="30" x14ac:dyDescent="0.25">
      <c r="A295" s="19" t="s">
        <v>668</v>
      </c>
      <c r="B295" s="4"/>
      <c r="C295" s="4" t="s">
        <v>22</v>
      </c>
      <c r="D295" s="4" t="s">
        <v>33</v>
      </c>
      <c r="E295" s="5" t="s">
        <v>34</v>
      </c>
      <c r="F295" s="4" t="s">
        <v>667</v>
      </c>
      <c r="G295" s="4" t="s">
        <v>26</v>
      </c>
      <c r="H295" s="4" t="s">
        <v>1053</v>
      </c>
      <c r="I295" s="12"/>
      <c r="J295" s="12"/>
      <c r="K295" s="12"/>
      <c r="L295" s="12"/>
      <c r="M295" s="64"/>
      <c r="N295" s="12"/>
      <c r="O295" s="12"/>
      <c r="P295" s="12"/>
      <c r="Q295" s="12"/>
      <c r="R295" s="12"/>
      <c r="S295" s="12"/>
      <c r="T295" s="12"/>
      <c r="U295" s="12"/>
      <c r="V295" s="12"/>
      <c r="W295" s="7"/>
      <c r="X295" s="12"/>
      <c r="Y295" s="7">
        <f t="shared" si="4"/>
        <v>8</v>
      </c>
      <c r="Z295" s="7"/>
      <c r="AA295" s="7"/>
      <c r="AB295" s="8">
        <f>1/(5*10^-7)</f>
        <v>2000000</v>
      </c>
      <c r="AC295" s="8"/>
      <c r="AD295" s="4"/>
      <c r="AE295" s="4"/>
      <c r="AF295" s="4"/>
      <c r="AG295" s="4"/>
      <c r="AH295" s="9"/>
      <c r="AI295" s="9"/>
      <c r="AJ295" s="9"/>
      <c r="AK295" s="9" t="s">
        <v>30</v>
      </c>
      <c r="AL295" s="10"/>
      <c r="AM295" s="10"/>
      <c r="AN295" s="10"/>
      <c r="AO295" s="10"/>
      <c r="AP295" s="10"/>
      <c r="AQ295" s="11">
        <v>13</v>
      </c>
      <c r="AR295" s="4"/>
      <c r="AS295" s="10"/>
      <c r="AT295" s="10"/>
      <c r="AU295" s="10"/>
      <c r="AV295" s="10"/>
      <c r="AW295" s="10"/>
      <c r="AX295" s="10"/>
      <c r="AY295" s="10"/>
      <c r="AZ295" s="10"/>
      <c r="BA295" s="10"/>
      <c r="BB295" s="10"/>
      <c r="BC295" s="10"/>
      <c r="BD295" s="10"/>
    </row>
    <row r="296" spans="1:56" ht="30" x14ac:dyDescent="0.25">
      <c r="A296" s="94" t="s">
        <v>620</v>
      </c>
      <c r="B296" s="320"/>
      <c r="C296" s="4" t="s">
        <v>22</v>
      </c>
      <c r="D296" s="4" t="s">
        <v>33</v>
      </c>
      <c r="E296" s="5" t="s">
        <v>34</v>
      </c>
      <c r="F296" s="4" t="s">
        <v>667</v>
      </c>
      <c r="G296" s="4" t="s">
        <v>26</v>
      </c>
      <c r="H296" s="4" t="s">
        <v>1053</v>
      </c>
      <c r="I296" s="12"/>
      <c r="J296" s="12"/>
      <c r="K296" s="12"/>
      <c r="L296" s="12"/>
      <c r="M296" s="64"/>
      <c r="N296" s="12"/>
      <c r="O296" s="12"/>
      <c r="P296" s="12"/>
      <c r="Q296" s="12"/>
      <c r="R296" s="12"/>
      <c r="S296" s="12"/>
      <c r="T296" s="12"/>
      <c r="U296" s="12"/>
      <c r="V296" s="12"/>
      <c r="W296" s="7"/>
      <c r="X296" s="12"/>
      <c r="Y296" s="7">
        <f t="shared" si="4"/>
        <v>8</v>
      </c>
      <c r="Z296" s="7"/>
      <c r="AA296" s="7"/>
      <c r="AB296" s="8">
        <f>1/(1.7*10^-5)</f>
        <v>58823.529411764706</v>
      </c>
      <c r="AC296" s="8"/>
      <c r="AD296" s="4"/>
      <c r="AE296" s="4"/>
      <c r="AF296" s="4"/>
      <c r="AG296" s="4"/>
      <c r="AH296" s="9"/>
      <c r="AI296" s="9"/>
      <c r="AJ296" s="9"/>
      <c r="AK296" s="9" t="s">
        <v>30</v>
      </c>
      <c r="AL296" s="10"/>
      <c r="AM296" s="10"/>
      <c r="AN296" s="10"/>
      <c r="AO296" s="10"/>
      <c r="AP296" s="10"/>
      <c r="AQ296" s="11">
        <v>13</v>
      </c>
      <c r="AR296" s="4"/>
      <c r="AS296" s="10"/>
      <c r="AT296" s="10"/>
      <c r="AU296" s="10"/>
      <c r="AV296" s="10"/>
      <c r="AW296" s="10"/>
      <c r="AX296" s="10"/>
      <c r="AY296" s="10"/>
      <c r="AZ296" s="10"/>
      <c r="BA296" s="10"/>
      <c r="BB296" s="10"/>
      <c r="BC296" s="10"/>
      <c r="BD296" s="10"/>
    </row>
    <row r="297" spans="1:56" ht="30" x14ac:dyDescent="0.25">
      <c r="A297" s="20" t="s">
        <v>626</v>
      </c>
      <c r="B297" s="23"/>
      <c r="C297" s="4" t="s">
        <v>22</v>
      </c>
      <c r="D297" s="4" t="s">
        <v>33</v>
      </c>
      <c r="E297" s="5" t="s">
        <v>34</v>
      </c>
      <c r="F297" s="4" t="s">
        <v>667</v>
      </c>
      <c r="G297" s="4" t="s">
        <v>26</v>
      </c>
      <c r="H297" s="4" t="s">
        <v>637</v>
      </c>
      <c r="I297" s="12"/>
      <c r="J297" s="12"/>
      <c r="K297" s="12"/>
      <c r="L297" s="12"/>
      <c r="M297" s="64"/>
      <c r="N297" s="12"/>
      <c r="O297" s="12"/>
      <c r="P297" s="12"/>
      <c r="Q297" s="12"/>
      <c r="R297" s="12"/>
      <c r="S297" s="12"/>
      <c r="T297" s="12"/>
      <c r="U297" s="12"/>
      <c r="V297" s="12"/>
      <c r="W297" s="7"/>
      <c r="X297" s="12"/>
      <c r="Y297" s="7">
        <f t="shared" si="4"/>
        <v>8</v>
      </c>
      <c r="Z297" s="7"/>
      <c r="AA297" s="7"/>
      <c r="AB297" s="8">
        <f>1/(1*10^-5)</f>
        <v>99999.999999999985</v>
      </c>
      <c r="AC297" s="8"/>
      <c r="AD297" s="4"/>
      <c r="AE297" s="4"/>
      <c r="AF297" s="4"/>
      <c r="AG297" s="4"/>
      <c r="AH297" s="9"/>
      <c r="AI297" s="9"/>
      <c r="AJ297" s="9"/>
      <c r="AK297" s="9" t="s">
        <v>30</v>
      </c>
      <c r="AL297" s="10"/>
      <c r="AM297" s="10"/>
      <c r="AN297" s="10"/>
      <c r="AO297" s="10"/>
      <c r="AP297" s="10"/>
      <c r="AQ297" s="11">
        <v>13</v>
      </c>
      <c r="AR297" s="4"/>
      <c r="AS297" s="10"/>
      <c r="AT297" s="10"/>
      <c r="AU297" s="10"/>
      <c r="AV297" s="10"/>
      <c r="AW297" s="10"/>
      <c r="AX297" s="10"/>
      <c r="AY297" s="10"/>
      <c r="AZ297" s="10"/>
      <c r="BA297" s="10"/>
      <c r="BB297" s="10"/>
      <c r="BC297" s="10"/>
      <c r="BD297" s="10"/>
    </row>
    <row r="298" spans="1:56" ht="30" x14ac:dyDescent="0.25">
      <c r="A298" s="94" t="s">
        <v>600</v>
      </c>
      <c r="B298" s="320"/>
      <c r="C298" s="4" t="s">
        <v>22</v>
      </c>
      <c r="D298" s="4" t="s">
        <v>33</v>
      </c>
      <c r="E298" s="5" t="s">
        <v>34</v>
      </c>
      <c r="F298" s="4" t="s">
        <v>667</v>
      </c>
      <c r="G298" s="4" t="s">
        <v>26</v>
      </c>
      <c r="H298" s="4" t="s">
        <v>635</v>
      </c>
      <c r="I298" s="12"/>
      <c r="J298" s="12"/>
      <c r="K298" s="12"/>
      <c r="L298" s="12"/>
      <c r="M298" s="64"/>
      <c r="N298" s="12"/>
      <c r="O298" s="12"/>
      <c r="P298" s="12"/>
      <c r="Q298" s="12"/>
      <c r="R298" s="12"/>
      <c r="S298" s="12"/>
      <c r="T298" s="12"/>
      <c r="U298" s="12"/>
      <c r="V298" s="12"/>
      <c r="W298" s="7"/>
      <c r="X298" s="12"/>
      <c r="Y298" s="7">
        <f t="shared" si="4"/>
        <v>8</v>
      </c>
      <c r="Z298" s="7"/>
      <c r="AA298" s="7"/>
      <c r="AB298" s="8">
        <f>1/(1*10^-5)</f>
        <v>99999.999999999985</v>
      </c>
      <c r="AC298" s="8"/>
      <c r="AD298" s="4"/>
      <c r="AE298" s="4"/>
      <c r="AF298" s="4"/>
      <c r="AG298" s="4"/>
      <c r="AH298" s="9"/>
      <c r="AI298" s="9"/>
      <c r="AJ298" s="9"/>
      <c r="AK298" s="9" t="s">
        <v>30</v>
      </c>
      <c r="AL298" s="10"/>
      <c r="AM298" s="10"/>
      <c r="AN298" s="10"/>
      <c r="AO298" s="10"/>
      <c r="AP298" s="10"/>
      <c r="AQ298" s="11">
        <v>13</v>
      </c>
      <c r="AR298" s="4"/>
      <c r="AS298" s="10"/>
      <c r="AT298" s="10"/>
      <c r="AU298" s="10"/>
      <c r="AV298" s="10"/>
      <c r="AW298" s="10"/>
      <c r="AX298" s="10"/>
      <c r="AY298" s="10"/>
      <c r="AZ298" s="10"/>
      <c r="BA298" s="10"/>
      <c r="BB298" s="10"/>
      <c r="BC298" s="10"/>
      <c r="BD298" s="10"/>
    </row>
    <row r="299" spans="1:56" ht="30" x14ac:dyDescent="0.25">
      <c r="A299" s="19" t="s">
        <v>627</v>
      </c>
      <c r="B299" s="4"/>
      <c r="C299" s="4" t="s">
        <v>22</v>
      </c>
      <c r="D299" s="4" t="s">
        <v>33</v>
      </c>
      <c r="E299" s="5" t="s">
        <v>34</v>
      </c>
      <c r="F299" s="4" t="s">
        <v>667</v>
      </c>
      <c r="G299" s="4" t="s">
        <v>26</v>
      </c>
      <c r="H299" s="4" t="s">
        <v>1053</v>
      </c>
      <c r="I299" s="12"/>
      <c r="J299" s="12"/>
      <c r="K299" s="12"/>
      <c r="L299" s="12"/>
      <c r="M299" s="64"/>
      <c r="N299" s="12"/>
      <c r="O299" s="12"/>
      <c r="P299" s="12"/>
      <c r="Q299" s="12"/>
      <c r="R299" s="12"/>
      <c r="S299" s="12"/>
      <c r="T299" s="12"/>
      <c r="U299" s="12"/>
      <c r="V299" s="12"/>
      <c r="W299" s="7"/>
      <c r="X299" s="12"/>
      <c r="Y299" s="7">
        <f t="shared" si="4"/>
        <v>8</v>
      </c>
      <c r="Z299" s="7"/>
      <c r="AA299" s="7"/>
      <c r="AB299" s="8">
        <f>1/(1*10^-5)</f>
        <v>99999.999999999985</v>
      </c>
      <c r="AC299" s="8"/>
      <c r="AD299" s="4"/>
      <c r="AE299" s="4"/>
      <c r="AF299" s="4"/>
      <c r="AG299" s="4"/>
      <c r="AH299" s="9"/>
      <c r="AI299" s="9"/>
      <c r="AJ299" s="9"/>
      <c r="AK299" s="9" t="s">
        <v>30</v>
      </c>
      <c r="AL299" s="10"/>
      <c r="AM299" s="10"/>
      <c r="AN299" s="10"/>
      <c r="AO299" s="10"/>
      <c r="AP299" s="10"/>
      <c r="AQ299" s="11">
        <v>13</v>
      </c>
      <c r="AR299" s="4"/>
      <c r="AS299" s="10"/>
      <c r="AT299" s="10"/>
      <c r="AU299" s="10"/>
      <c r="AV299" s="10"/>
      <c r="AW299" s="10"/>
      <c r="AX299" s="10"/>
      <c r="AY299" s="10"/>
      <c r="AZ299" s="10"/>
      <c r="BA299" s="10"/>
      <c r="BB299" s="10"/>
      <c r="BC299" s="10"/>
      <c r="BD299" s="10"/>
    </row>
    <row r="300" spans="1:56" ht="30" x14ac:dyDescent="0.25">
      <c r="A300" s="94" t="s">
        <v>629</v>
      </c>
      <c r="B300" s="320"/>
      <c r="C300" s="4" t="s">
        <v>22</v>
      </c>
      <c r="D300" s="4" t="s">
        <v>33</v>
      </c>
      <c r="E300" s="5" t="s">
        <v>34</v>
      </c>
      <c r="F300" s="4" t="s">
        <v>667</v>
      </c>
      <c r="G300" s="4" t="s">
        <v>26</v>
      </c>
      <c r="H300" s="4" t="s">
        <v>637</v>
      </c>
      <c r="I300" s="12"/>
      <c r="J300" s="12"/>
      <c r="K300" s="12"/>
      <c r="L300" s="12"/>
      <c r="M300" s="64"/>
      <c r="N300" s="12"/>
      <c r="O300" s="12"/>
      <c r="P300" s="12"/>
      <c r="Q300" s="12"/>
      <c r="R300" s="12"/>
      <c r="S300" s="12"/>
      <c r="T300" s="12"/>
      <c r="U300" s="12"/>
      <c r="V300" s="12"/>
      <c r="W300" s="7"/>
      <c r="X300" s="12"/>
      <c r="Y300" s="7">
        <f t="shared" si="4"/>
        <v>8</v>
      </c>
      <c r="Z300" s="7"/>
      <c r="AA300" s="7"/>
      <c r="AB300" s="8">
        <f>1/(1*10^-5)</f>
        <v>99999.999999999985</v>
      </c>
      <c r="AC300" s="8"/>
      <c r="AD300" s="4"/>
      <c r="AE300" s="4"/>
      <c r="AF300" s="4"/>
      <c r="AG300" s="4"/>
      <c r="AH300" s="9"/>
      <c r="AI300" s="9"/>
      <c r="AJ300" s="9"/>
      <c r="AK300" s="9" t="s">
        <v>30</v>
      </c>
      <c r="AL300" s="10"/>
      <c r="AM300" s="10"/>
      <c r="AN300" s="10"/>
      <c r="AO300" s="10"/>
      <c r="AP300" s="10"/>
      <c r="AQ300" s="11">
        <v>13</v>
      </c>
      <c r="AR300" s="4"/>
      <c r="AS300" s="10"/>
      <c r="AT300" s="10"/>
      <c r="AU300" s="10"/>
      <c r="AV300" s="10"/>
      <c r="AW300" s="10"/>
      <c r="AX300" s="10"/>
      <c r="AY300" s="10"/>
      <c r="AZ300" s="10"/>
      <c r="BA300" s="10"/>
      <c r="BB300" s="10"/>
      <c r="BC300" s="10"/>
      <c r="BD300" s="10"/>
    </row>
    <row r="301" spans="1:56" ht="30" x14ac:dyDescent="0.25">
      <c r="A301" s="19" t="s">
        <v>669</v>
      </c>
      <c r="B301" s="4"/>
      <c r="C301" s="4" t="s">
        <v>22</v>
      </c>
      <c r="D301" s="4" t="s">
        <v>33</v>
      </c>
      <c r="E301" s="5" t="s">
        <v>34</v>
      </c>
      <c r="F301" s="4" t="s">
        <v>667</v>
      </c>
      <c r="G301" s="4" t="s">
        <v>26</v>
      </c>
      <c r="H301" s="4" t="s">
        <v>637</v>
      </c>
      <c r="I301" s="12"/>
      <c r="J301" s="12"/>
      <c r="K301" s="12"/>
      <c r="L301" s="12"/>
      <c r="M301" s="64"/>
      <c r="N301" s="12"/>
      <c r="O301" s="12"/>
      <c r="P301" s="12"/>
      <c r="Q301" s="12"/>
      <c r="R301" s="12"/>
      <c r="S301" s="12"/>
      <c r="T301" s="12"/>
      <c r="U301" s="12"/>
      <c r="V301" s="12"/>
      <c r="W301" s="7"/>
      <c r="X301" s="12"/>
      <c r="Y301" s="7">
        <f t="shared" si="4"/>
        <v>8</v>
      </c>
      <c r="Z301" s="7"/>
      <c r="AA301" s="7"/>
      <c r="AB301" s="8">
        <f>1/(5*10^-7)</f>
        <v>2000000</v>
      </c>
      <c r="AC301" s="8"/>
      <c r="AD301" s="4"/>
      <c r="AE301" s="4"/>
      <c r="AF301" s="4"/>
      <c r="AG301" s="4"/>
      <c r="AH301" s="9"/>
      <c r="AI301" s="9"/>
      <c r="AJ301" s="9"/>
      <c r="AK301" s="9" t="s">
        <v>30</v>
      </c>
      <c r="AL301" s="10"/>
      <c r="AM301" s="10"/>
      <c r="AN301" s="10"/>
      <c r="AO301" s="10"/>
      <c r="AP301" s="10"/>
      <c r="AQ301" s="11">
        <v>13</v>
      </c>
      <c r="AR301" s="4"/>
      <c r="AS301" s="10"/>
      <c r="AT301" s="10"/>
      <c r="AU301" s="10"/>
      <c r="AV301" s="10"/>
      <c r="AW301" s="10"/>
      <c r="AX301" s="10"/>
      <c r="AY301" s="10"/>
      <c r="AZ301" s="10"/>
      <c r="BA301" s="10"/>
      <c r="BB301" s="10"/>
      <c r="BC301" s="10"/>
      <c r="BD301" s="10"/>
    </row>
    <row r="302" spans="1:56" ht="30" x14ac:dyDescent="0.25">
      <c r="A302" s="94" t="s">
        <v>603</v>
      </c>
      <c r="B302" s="320"/>
      <c r="C302" s="4" t="s">
        <v>22</v>
      </c>
      <c r="D302" s="4" t="s">
        <v>33</v>
      </c>
      <c r="E302" s="5" t="s">
        <v>34</v>
      </c>
      <c r="F302" s="4" t="s">
        <v>667</v>
      </c>
      <c r="G302" s="4" t="s">
        <v>26</v>
      </c>
      <c r="H302" s="4" t="s">
        <v>1053</v>
      </c>
      <c r="I302" s="12"/>
      <c r="J302" s="12"/>
      <c r="K302" s="12"/>
      <c r="L302" s="12"/>
      <c r="M302" s="64"/>
      <c r="N302" s="12"/>
      <c r="O302" s="12"/>
      <c r="P302" s="12"/>
      <c r="Q302" s="12"/>
      <c r="R302" s="12"/>
      <c r="S302" s="12"/>
      <c r="T302" s="12"/>
      <c r="U302" s="12"/>
      <c r="V302" s="12"/>
      <c r="W302" s="7"/>
      <c r="X302" s="12"/>
      <c r="Y302" s="7">
        <f t="shared" si="4"/>
        <v>8</v>
      </c>
      <c r="Z302" s="7"/>
      <c r="AA302" s="7"/>
      <c r="AB302" s="8">
        <f>1/(1*10^-5)</f>
        <v>99999.999999999985</v>
      </c>
      <c r="AC302" s="8"/>
      <c r="AD302" s="4"/>
      <c r="AE302" s="4"/>
      <c r="AF302" s="4"/>
      <c r="AG302" s="4"/>
      <c r="AH302" s="9"/>
      <c r="AI302" s="9"/>
      <c r="AJ302" s="9"/>
      <c r="AK302" s="9" t="s">
        <v>30</v>
      </c>
      <c r="AL302" s="10"/>
      <c r="AM302" s="10"/>
      <c r="AN302" s="10"/>
      <c r="AO302" s="10"/>
      <c r="AP302" s="10"/>
      <c r="AQ302" s="11">
        <v>13</v>
      </c>
      <c r="AR302" s="4"/>
      <c r="AS302" s="10"/>
      <c r="AT302" s="10"/>
      <c r="AU302" s="10"/>
      <c r="AV302" s="10"/>
      <c r="AW302" s="10"/>
      <c r="AX302" s="10"/>
      <c r="AY302" s="10"/>
      <c r="AZ302" s="10"/>
      <c r="BA302" s="10"/>
      <c r="BB302" s="10"/>
      <c r="BC302" s="10"/>
      <c r="BD302" s="10"/>
    </row>
    <row r="303" spans="1:56" ht="30" x14ac:dyDescent="0.25">
      <c r="A303" s="19" t="s">
        <v>586</v>
      </c>
      <c r="B303" s="4"/>
      <c r="C303" s="4" t="s">
        <v>22</v>
      </c>
      <c r="D303" s="4" t="s">
        <v>33</v>
      </c>
      <c r="E303" s="5" t="s">
        <v>34</v>
      </c>
      <c r="F303" s="4" t="s">
        <v>667</v>
      </c>
      <c r="G303" s="4" t="s">
        <v>26</v>
      </c>
      <c r="H303" s="4" t="s">
        <v>639</v>
      </c>
      <c r="I303" s="12"/>
      <c r="J303" s="12"/>
      <c r="K303" s="12"/>
      <c r="L303" s="12"/>
      <c r="M303" s="64"/>
      <c r="N303" s="12"/>
      <c r="O303" s="12"/>
      <c r="P303" s="12"/>
      <c r="Q303" s="12"/>
      <c r="R303" s="12"/>
      <c r="S303" s="12"/>
      <c r="T303" s="12"/>
      <c r="U303" s="12"/>
      <c r="V303" s="12"/>
      <c r="W303" s="7"/>
      <c r="X303" s="12"/>
      <c r="Y303" s="7">
        <f t="shared" si="4"/>
        <v>8</v>
      </c>
      <c r="Z303" s="7"/>
      <c r="AA303" s="7"/>
      <c r="AB303" s="8">
        <f>1/(1*10^-5)</f>
        <v>99999.999999999985</v>
      </c>
      <c r="AC303" s="8"/>
      <c r="AD303" s="4"/>
      <c r="AE303" s="4"/>
      <c r="AF303" s="4"/>
      <c r="AG303" s="4"/>
      <c r="AH303" s="9"/>
      <c r="AI303" s="9"/>
      <c r="AJ303" s="9"/>
      <c r="AK303" s="9" t="s">
        <v>30</v>
      </c>
      <c r="AL303" s="10"/>
      <c r="AM303" s="10"/>
      <c r="AN303" s="10"/>
      <c r="AO303" s="10"/>
      <c r="AP303" s="10"/>
      <c r="AQ303" s="11">
        <v>13</v>
      </c>
      <c r="AR303" s="4"/>
      <c r="AS303" s="10"/>
      <c r="AT303" s="10"/>
      <c r="AU303" s="10"/>
      <c r="AV303" s="10"/>
      <c r="AW303" s="10"/>
      <c r="AX303" s="10"/>
      <c r="AY303" s="10"/>
      <c r="AZ303" s="10"/>
      <c r="BA303" s="10"/>
      <c r="BB303" s="10"/>
      <c r="BC303" s="10"/>
      <c r="BD303" s="10"/>
    </row>
    <row r="304" spans="1:56" ht="30" x14ac:dyDescent="0.25">
      <c r="A304" s="94" t="s">
        <v>587</v>
      </c>
      <c r="B304" s="320"/>
      <c r="C304" s="4" t="s">
        <v>22</v>
      </c>
      <c r="D304" s="4" t="s">
        <v>33</v>
      </c>
      <c r="E304" s="5" t="s">
        <v>34</v>
      </c>
      <c r="F304" s="4" t="s">
        <v>667</v>
      </c>
      <c r="G304" s="4" t="s">
        <v>26</v>
      </c>
      <c r="H304" s="4" t="s">
        <v>1053</v>
      </c>
      <c r="I304" s="12"/>
      <c r="J304" s="12"/>
      <c r="K304" s="12"/>
      <c r="L304" s="12"/>
      <c r="M304" s="64"/>
      <c r="N304" s="12"/>
      <c r="O304" s="12"/>
      <c r="P304" s="12"/>
      <c r="Q304" s="12"/>
      <c r="R304" s="12"/>
      <c r="S304" s="12"/>
      <c r="T304" s="12"/>
      <c r="U304" s="12"/>
      <c r="V304" s="12"/>
      <c r="W304" s="7"/>
      <c r="X304" s="12"/>
      <c r="Y304" s="7">
        <f t="shared" si="4"/>
        <v>8</v>
      </c>
      <c r="Z304" s="7"/>
      <c r="AA304" s="7"/>
      <c r="AB304" s="8">
        <f>1/(1.5*10^-5)</f>
        <v>66666.666666666657</v>
      </c>
      <c r="AC304" s="8"/>
      <c r="AD304" s="4"/>
      <c r="AE304" s="4"/>
      <c r="AF304" s="4"/>
      <c r="AG304" s="4"/>
      <c r="AH304" s="9"/>
      <c r="AI304" s="9"/>
      <c r="AJ304" s="9"/>
      <c r="AK304" s="9" t="s">
        <v>30</v>
      </c>
      <c r="AL304" s="10"/>
      <c r="AM304" s="10"/>
      <c r="AN304" s="10"/>
      <c r="AO304" s="10"/>
      <c r="AP304" s="10"/>
      <c r="AQ304" s="11">
        <v>13</v>
      </c>
      <c r="AR304" s="4"/>
      <c r="AS304" s="10"/>
      <c r="AT304" s="10"/>
      <c r="AU304" s="10"/>
      <c r="AV304" s="10"/>
      <c r="AW304" s="10"/>
      <c r="AX304" s="10"/>
      <c r="AY304" s="10"/>
      <c r="AZ304" s="10"/>
      <c r="BA304" s="10"/>
      <c r="BB304" s="10"/>
      <c r="BC304" s="10"/>
      <c r="BD304" s="10"/>
    </row>
    <row r="305" spans="1:56" ht="30" x14ac:dyDescent="0.25">
      <c r="A305" s="20" t="s">
        <v>670</v>
      </c>
      <c r="B305" s="23"/>
      <c r="C305" s="4" t="s">
        <v>22</v>
      </c>
      <c r="D305" s="4" t="s">
        <v>33</v>
      </c>
      <c r="E305" s="5" t="s">
        <v>34</v>
      </c>
      <c r="F305" s="4" t="s">
        <v>667</v>
      </c>
      <c r="G305" s="4" t="s">
        <v>26</v>
      </c>
      <c r="H305" s="62" t="s">
        <v>1058</v>
      </c>
      <c r="I305" s="12">
        <v>5.5</v>
      </c>
      <c r="J305" s="12">
        <v>5.5</v>
      </c>
      <c r="K305" s="12"/>
      <c r="L305" s="12">
        <v>1.0937499999999999E-2</v>
      </c>
      <c r="M305" s="64">
        <v>0.01</v>
      </c>
      <c r="N305" s="12"/>
      <c r="O305" s="12"/>
      <c r="P305" s="12"/>
      <c r="Q305" s="12"/>
      <c r="R305" s="12"/>
      <c r="S305" s="12"/>
      <c r="T305" s="12"/>
      <c r="U305" s="12"/>
      <c r="V305" s="12"/>
      <c r="W305" s="7"/>
      <c r="X305" s="12"/>
      <c r="Y305" s="7">
        <f t="shared" si="4"/>
        <v>8</v>
      </c>
      <c r="Z305" s="7"/>
      <c r="AA305" s="7"/>
      <c r="AB305" s="8">
        <f>1/(2*10^-5)</f>
        <v>49999.999999999993</v>
      </c>
      <c r="AC305" s="8"/>
      <c r="AD305" s="4"/>
      <c r="AE305" s="4"/>
      <c r="AF305" s="4"/>
      <c r="AG305" s="4"/>
      <c r="AH305" s="9"/>
      <c r="AI305" s="9"/>
      <c r="AJ305" s="9"/>
      <c r="AK305" s="9" t="s">
        <v>30</v>
      </c>
      <c r="AL305" s="10"/>
      <c r="AM305" s="10"/>
      <c r="AN305" s="10"/>
      <c r="AO305" s="10"/>
      <c r="AP305" s="10"/>
      <c r="AQ305" s="11" t="s">
        <v>671</v>
      </c>
      <c r="AR305" s="4"/>
      <c r="AS305" s="10"/>
      <c r="AT305" s="10"/>
      <c r="AU305" s="10"/>
      <c r="AV305" s="10"/>
      <c r="AW305" s="10"/>
      <c r="AX305" s="10"/>
      <c r="AY305" s="10"/>
      <c r="AZ305" s="10"/>
      <c r="BA305" s="10"/>
      <c r="BB305" s="10"/>
      <c r="BC305" s="10"/>
      <c r="BD305" s="10"/>
    </row>
    <row r="306" spans="1:56" ht="30" x14ac:dyDescent="0.25">
      <c r="A306" s="19" t="s">
        <v>590</v>
      </c>
      <c r="B306" s="4"/>
      <c r="C306" s="4" t="s">
        <v>22</v>
      </c>
      <c r="D306" s="4" t="s">
        <v>33</v>
      </c>
      <c r="E306" s="5" t="s">
        <v>34</v>
      </c>
      <c r="F306" s="4" t="s">
        <v>667</v>
      </c>
      <c r="G306" s="4" t="s">
        <v>26</v>
      </c>
      <c r="H306" s="4" t="s">
        <v>651</v>
      </c>
      <c r="I306" s="12"/>
      <c r="J306" s="12"/>
      <c r="K306" s="12"/>
      <c r="L306" s="12"/>
      <c r="M306" s="64"/>
      <c r="N306" s="12"/>
      <c r="O306" s="12"/>
      <c r="P306" s="12"/>
      <c r="Q306" s="12"/>
      <c r="R306" s="12"/>
      <c r="S306" s="12"/>
      <c r="T306" s="12"/>
      <c r="U306" s="12"/>
      <c r="V306" s="12"/>
      <c r="W306" s="7"/>
      <c r="X306" s="12"/>
      <c r="Y306" s="7">
        <f t="shared" si="4"/>
        <v>8</v>
      </c>
      <c r="Z306" s="7"/>
      <c r="AA306" s="7"/>
      <c r="AB306" s="8">
        <f>1/(1*10^-5)</f>
        <v>99999.999999999985</v>
      </c>
      <c r="AC306" s="8"/>
      <c r="AD306" s="4"/>
      <c r="AE306" s="4"/>
      <c r="AF306" s="4"/>
      <c r="AG306" s="4"/>
      <c r="AH306" s="9"/>
      <c r="AI306" s="9"/>
      <c r="AJ306" s="9"/>
      <c r="AK306" s="9" t="s">
        <v>30</v>
      </c>
      <c r="AL306" s="10"/>
      <c r="AM306" s="10"/>
      <c r="AN306" s="10"/>
      <c r="AO306" s="10"/>
      <c r="AP306" s="10"/>
      <c r="AQ306" s="11">
        <v>13</v>
      </c>
      <c r="AR306" s="4"/>
      <c r="AS306" s="10"/>
      <c r="AT306" s="10"/>
      <c r="AU306" s="10"/>
      <c r="AV306" s="10"/>
      <c r="AW306" s="10"/>
      <c r="AX306" s="10"/>
      <c r="AY306" s="10"/>
      <c r="AZ306" s="10"/>
      <c r="BA306" s="10"/>
      <c r="BB306" s="10"/>
      <c r="BC306" s="10"/>
      <c r="BD306" s="10"/>
    </row>
    <row r="307" spans="1:56" ht="30" x14ac:dyDescent="0.25">
      <c r="A307" s="20" t="s">
        <v>618</v>
      </c>
      <c r="B307" s="23"/>
      <c r="C307" s="4" t="s">
        <v>22</v>
      </c>
      <c r="D307" s="4" t="s">
        <v>33</v>
      </c>
      <c r="E307" s="5" t="s">
        <v>34</v>
      </c>
      <c r="F307" s="4" t="s">
        <v>667</v>
      </c>
      <c r="G307" s="4" t="s">
        <v>26</v>
      </c>
      <c r="H307" s="4" t="s">
        <v>639</v>
      </c>
      <c r="I307" s="12"/>
      <c r="J307" s="12"/>
      <c r="K307" s="12"/>
      <c r="L307" s="12"/>
      <c r="M307" s="64"/>
      <c r="N307" s="12"/>
      <c r="O307" s="12"/>
      <c r="P307" s="12"/>
      <c r="Q307" s="12"/>
      <c r="R307" s="12"/>
      <c r="S307" s="12"/>
      <c r="T307" s="12"/>
      <c r="U307" s="12"/>
      <c r="V307" s="12"/>
      <c r="W307" s="7"/>
      <c r="X307" s="12"/>
      <c r="Y307" s="7">
        <f t="shared" si="4"/>
        <v>8</v>
      </c>
      <c r="Z307" s="7"/>
      <c r="AA307" s="7"/>
      <c r="AB307" s="8">
        <f>1/(1*10^-5)</f>
        <v>99999.999999999985</v>
      </c>
      <c r="AC307" s="8"/>
      <c r="AD307" s="4"/>
      <c r="AE307" s="4"/>
      <c r="AF307" s="4"/>
      <c r="AG307" s="4"/>
      <c r="AH307" s="9"/>
      <c r="AI307" s="9"/>
      <c r="AJ307" s="9"/>
      <c r="AK307" s="9" t="s">
        <v>30</v>
      </c>
      <c r="AL307" s="10"/>
      <c r="AM307" s="10"/>
      <c r="AN307" s="10"/>
      <c r="AO307" s="10"/>
      <c r="AP307" s="10"/>
      <c r="AQ307" s="11">
        <v>13</v>
      </c>
      <c r="AR307" s="4"/>
      <c r="AS307" s="10"/>
      <c r="AT307" s="10"/>
      <c r="AU307" s="10"/>
      <c r="AV307" s="10"/>
      <c r="AW307" s="10"/>
      <c r="AX307" s="10"/>
      <c r="AY307" s="10"/>
      <c r="AZ307" s="10"/>
      <c r="BA307" s="10"/>
      <c r="BB307" s="10"/>
      <c r="BC307" s="10"/>
      <c r="BD307" s="10"/>
    </row>
    <row r="308" spans="1:56" ht="30" x14ac:dyDescent="0.25">
      <c r="A308" s="4" t="s">
        <v>631</v>
      </c>
      <c r="B308" s="4"/>
      <c r="C308" s="4" t="s">
        <v>22</v>
      </c>
      <c r="D308" s="4" t="s">
        <v>33</v>
      </c>
      <c r="E308" s="5" t="s">
        <v>34</v>
      </c>
      <c r="F308" s="4" t="s">
        <v>667</v>
      </c>
      <c r="G308" s="4" t="s">
        <v>26</v>
      </c>
      <c r="H308" s="4" t="s">
        <v>637</v>
      </c>
      <c r="I308" s="12"/>
      <c r="J308" s="12"/>
      <c r="K308" s="12"/>
      <c r="L308" s="12"/>
      <c r="M308" s="64"/>
      <c r="N308" s="12"/>
      <c r="O308" s="12"/>
      <c r="P308" s="12"/>
      <c r="Q308" s="12"/>
      <c r="R308" s="12"/>
      <c r="S308" s="12"/>
      <c r="T308" s="12"/>
      <c r="U308" s="12"/>
      <c r="V308" s="12"/>
      <c r="W308" s="7"/>
      <c r="X308" s="12"/>
      <c r="Y308" s="7">
        <f t="shared" si="4"/>
        <v>8</v>
      </c>
      <c r="Z308" s="7"/>
      <c r="AA308" s="7"/>
      <c r="AB308" s="8">
        <f>1/(5.99*10^-6)</f>
        <v>166944.9081803005</v>
      </c>
      <c r="AC308" s="8"/>
      <c r="AD308" s="4"/>
      <c r="AE308" s="4"/>
      <c r="AF308" s="4"/>
      <c r="AG308" s="4"/>
      <c r="AH308" s="9"/>
      <c r="AI308" s="9"/>
      <c r="AJ308" s="9"/>
      <c r="AK308" s="9" t="s">
        <v>30</v>
      </c>
      <c r="AL308" s="10"/>
      <c r="AM308" s="10"/>
      <c r="AN308" s="10"/>
      <c r="AO308" s="10"/>
      <c r="AP308" s="10"/>
      <c r="AQ308" s="11">
        <v>13</v>
      </c>
      <c r="AR308" s="4"/>
      <c r="AS308" s="10"/>
      <c r="AT308" s="10"/>
      <c r="AU308" s="10"/>
      <c r="AV308" s="10"/>
      <c r="AW308" s="10"/>
      <c r="AX308" s="10"/>
      <c r="AY308" s="10"/>
      <c r="AZ308" s="10"/>
      <c r="BA308" s="10"/>
      <c r="BB308" s="10"/>
      <c r="BC308" s="10"/>
      <c r="BD308" s="10"/>
    </row>
    <row r="309" spans="1:56" ht="30" x14ac:dyDescent="0.25">
      <c r="A309" s="4" t="s">
        <v>593</v>
      </c>
      <c r="B309" s="4"/>
      <c r="C309" s="4" t="s">
        <v>22</v>
      </c>
      <c r="D309" s="4" t="s">
        <v>33</v>
      </c>
      <c r="E309" s="5" t="s">
        <v>34</v>
      </c>
      <c r="F309" s="4" t="s">
        <v>672</v>
      </c>
      <c r="G309" s="4" t="s">
        <v>26</v>
      </c>
      <c r="H309" s="4" t="s">
        <v>1053</v>
      </c>
      <c r="I309" s="12"/>
      <c r="J309" s="12"/>
      <c r="K309" s="12"/>
      <c r="L309" s="12"/>
      <c r="M309" s="64"/>
      <c r="N309" s="12"/>
      <c r="O309" s="12"/>
      <c r="P309" s="12"/>
      <c r="Q309" s="12"/>
      <c r="R309" s="12"/>
      <c r="S309" s="12"/>
      <c r="T309" s="12"/>
      <c r="U309" s="12"/>
      <c r="V309" s="12"/>
      <c r="W309" s="7"/>
      <c r="X309" s="12"/>
      <c r="Y309" s="7">
        <v>6</v>
      </c>
      <c r="Z309" s="7"/>
      <c r="AA309" s="7"/>
      <c r="AB309" s="8">
        <f>1/(5*10^-7)</f>
        <v>2000000</v>
      </c>
      <c r="AC309" s="8"/>
      <c r="AD309" s="4"/>
      <c r="AE309" s="4"/>
      <c r="AF309" s="4"/>
      <c r="AG309" s="4"/>
      <c r="AH309" s="9"/>
      <c r="AI309" s="9"/>
      <c r="AJ309" s="9"/>
      <c r="AK309" s="9" t="s">
        <v>30</v>
      </c>
      <c r="AL309" s="10"/>
      <c r="AM309" s="10"/>
      <c r="AN309" s="10"/>
      <c r="AO309" s="10"/>
      <c r="AP309" s="10"/>
      <c r="AQ309" s="11">
        <v>13</v>
      </c>
      <c r="AR309" s="4"/>
      <c r="AS309" s="10"/>
      <c r="AT309" s="10"/>
      <c r="AU309" s="10"/>
      <c r="AV309" s="10"/>
      <c r="AW309" s="10"/>
      <c r="AX309" s="10"/>
      <c r="AY309" s="10"/>
      <c r="AZ309" s="10"/>
      <c r="BA309" s="10"/>
      <c r="BB309" s="10"/>
      <c r="BC309" s="10"/>
      <c r="BD309" s="10"/>
    </row>
    <row r="310" spans="1:56" ht="30" x14ac:dyDescent="0.25">
      <c r="A310" s="4" t="s">
        <v>673</v>
      </c>
      <c r="B310" s="4"/>
      <c r="C310" s="4" t="s">
        <v>22</v>
      </c>
      <c r="D310" s="4" t="s">
        <v>33</v>
      </c>
      <c r="E310" s="5" t="s">
        <v>34</v>
      </c>
      <c r="F310" s="4" t="s">
        <v>672</v>
      </c>
      <c r="G310" s="4" t="s">
        <v>26</v>
      </c>
      <c r="H310" s="4" t="s">
        <v>637</v>
      </c>
      <c r="I310" s="12"/>
      <c r="J310" s="12"/>
      <c r="K310" s="12"/>
      <c r="L310" s="12"/>
      <c r="M310" s="64"/>
      <c r="N310" s="12"/>
      <c r="O310" s="12"/>
      <c r="P310" s="12"/>
      <c r="Q310" s="12"/>
      <c r="R310" s="12"/>
      <c r="S310" s="12"/>
      <c r="T310" s="12"/>
      <c r="U310" s="12"/>
      <c r="V310" s="12"/>
      <c r="W310" s="7"/>
      <c r="X310" s="12"/>
      <c r="Y310" s="7">
        <f t="shared" ref="Y310:Y325" si="5">$Y$309</f>
        <v>6</v>
      </c>
      <c r="Z310" s="7"/>
      <c r="AA310" s="7"/>
      <c r="AB310" s="8">
        <f>1/(2.5*10^-5)</f>
        <v>40000</v>
      </c>
      <c r="AC310" s="8"/>
      <c r="AD310" s="4"/>
      <c r="AE310" s="4"/>
      <c r="AF310" s="4"/>
      <c r="AG310" s="4"/>
      <c r="AH310" s="9"/>
      <c r="AI310" s="9"/>
      <c r="AJ310" s="9"/>
      <c r="AK310" s="9" t="s">
        <v>30</v>
      </c>
      <c r="AL310" s="10"/>
      <c r="AM310" s="10"/>
      <c r="AN310" s="10"/>
      <c r="AO310" s="10"/>
      <c r="AP310" s="10"/>
      <c r="AQ310" s="11">
        <v>13</v>
      </c>
      <c r="AR310" s="4"/>
      <c r="AS310" s="10"/>
      <c r="AT310" s="10"/>
      <c r="AU310" s="10"/>
      <c r="AV310" s="10"/>
      <c r="AW310" s="10"/>
      <c r="AX310" s="10"/>
      <c r="AY310" s="10"/>
      <c r="AZ310" s="10"/>
      <c r="BA310" s="10"/>
      <c r="BB310" s="10"/>
      <c r="BC310" s="10"/>
      <c r="BD310" s="10"/>
    </row>
    <row r="311" spans="1:56" ht="30" x14ac:dyDescent="0.25">
      <c r="A311" s="4" t="s">
        <v>596</v>
      </c>
      <c r="B311" s="4"/>
      <c r="C311" s="4" t="s">
        <v>22</v>
      </c>
      <c r="D311" s="4" t="s">
        <v>33</v>
      </c>
      <c r="E311" s="5" t="s">
        <v>34</v>
      </c>
      <c r="F311" s="4" t="s">
        <v>672</v>
      </c>
      <c r="G311" s="4" t="s">
        <v>26</v>
      </c>
      <c r="H311" s="4" t="s">
        <v>637</v>
      </c>
      <c r="I311" s="12"/>
      <c r="J311" s="12"/>
      <c r="K311" s="12"/>
      <c r="L311" s="12"/>
      <c r="M311" s="64"/>
      <c r="N311" s="12"/>
      <c r="O311" s="12"/>
      <c r="P311" s="12"/>
      <c r="Q311" s="12"/>
      <c r="R311" s="12"/>
      <c r="S311" s="12"/>
      <c r="T311" s="12"/>
      <c r="U311" s="12"/>
      <c r="V311" s="12"/>
      <c r="W311" s="7"/>
      <c r="X311" s="12"/>
      <c r="Y311" s="7">
        <f t="shared" si="5"/>
        <v>6</v>
      </c>
      <c r="Z311" s="7"/>
      <c r="AA311" s="7"/>
      <c r="AB311" s="8">
        <f>1/(1*10^-5)</f>
        <v>99999.999999999985</v>
      </c>
      <c r="AC311" s="8"/>
      <c r="AD311" s="4"/>
      <c r="AE311" s="4"/>
      <c r="AF311" s="4"/>
      <c r="AG311" s="4"/>
      <c r="AH311" s="9"/>
      <c r="AI311" s="9"/>
      <c r="AJ311" s="9"/>
      <c r="AK311" s="9" t="s">
        <v>30</v>
      </c>
      <c r="AL311" s="10"/>
      <c r="AM311" s="10"/>
      <c r="AN311" s="10"/>
      <c r="AO311" s="10"/>
      <c r="AP311" s="10"/>
      <c r="AQ311" s="11">
        <v>13</v>
      </c>
      <c r="AR311" s="4"/>
      <c r="AS311" s="10"/>
      <c r="AT311" s="10"/>
      <c r="AU311" s="10"/>
      <c r="AV311" s="10"/>
      <c r="AW311" s="10"/>
      <c r="AX311" s="10"/>
      <c r="AY311" s="10"/>
      <c r="AZ311" s="10"/>
      <c r="BA311" s="10"/>
      <c r="BB311" s="10"/>
      <c r="BC311" s="10"/>
      <c r="BD311" s="10"/>
    </row>
    <row r="312" spans="1:56" ht="30" x14ac:dyDescent="0.25">
      <c r="A312" s="4" t="s">
        <v>624</v>
      </c>
      <c r="B312" s="4"/>
      <c r="C312" s="4" t="s">
        <v>22</v>
      </c>
      <c r="D312" s="4" t="s">
        <v>33</v>
      </c>
      <c r="E312" s="5" t="s">
        <v>34</v>
      </c>
      <c r="F312" s="4" t="s">
        <v>672</v>
      </c>
      <c r="G312" s="4" t="s">
        <v>26</v>
      </c>
      <c r="H312" s="4" t="s">
        <v>1053</v>
      </c>
      <c r="I312" s="12"/>
      <c r="J312" s="12"/>
      <c r="K312" s="12"/>
      <c r="L312" s="12"/>
      <c r="M312" s="64"/>
      <c r="N312" s="12"/>
      <c r="O312" s="12"/>
      <c r="P312" s="12"/>
      <c r="Q312" s="12"/>
      <c r="R312" s="12"/>
      <c r="S312" s="12"/>
      <c r="T312" s="12"/>
      <c r="U312" s="12"/>
      <c r="V312" s="12"/>
      <c r="W312" s="7"/>
      <c r="X312" s="12"/>
      <c r="Y312" s="7">
        <f t="shared" si="5"/>
        <v>6</v>
      </c>
      <c r="Z312" s="7"/>
      <c r="AA312" s="7"/>
      <c r="AB312" s="8">
        <f>1/(1.5*10^-5)</f>
        <v>66666.666666666657</v>
      </c>
      <c r="AC312" s="8"/>
      <c r="AD312" s="4"/>
      <c r="AE312" s="4"/>
      <c r="AF312" s="4"/>
      <c r="AG312" s="4"/>
      <c r="AH312" s="9"/>
      <c r="AI312" s="9"/>
      <c r="AJ312" s="9"/>
      <c r="AK312" s="9" t="s">
        <v>30</v>
      </c>
      <c r="AL312" s="10"/>
      <c r="AM312" s="10"/>
      <c r="AN312" s="10"/>
      <c r="AO312" s="10"/>
      <c r="AP312" s="10"/>
      <c r="AQ312" s="11">
        <v>13</v>
      </c>
      <c r="AR312" s="4"/>
      <c r="AS312" s="10"/>
      <c r="AT312" s="10"/>
      <c r="AU312" s="10"/>
      <c r="AV312" s="10"/>
      <c r="AW312" s="10"/>
      <c r="AX312" s="10"/>
      <c r="AY312" s="10"/>
      <c r="AZ312" s="10"/>
      <c r="BA312" s="10"/>
      <c r="BB312" s="10"/>
      <c r="BC312" s="10"/>
      <c r="BD312" s="10"/>
    </row>
    <row r="313" spans="1:56" ht="30" x14ac:dyDescent="0.25">
      <c r="A313" s="4" t="s">
        <v>620</v>
      </c>
      <c r="B313" s="4"/>
      <c r="C313" s="4" t="s">
        <v>22</v>
      </c>
      <c r="D313" s="4" t="s">
        <v>33</v>
      </c>
      <c r="E313" s="5" t="s">
        <v>34</v>
      </c>
      <c r="F313" s="4" t="s">
        <v>672</v>
      </c>
      <c r="G313" s="4" t="s">
        <v>26</v>
      </c>
      <c r="H313" s="4" t="s">
        <v>1053</v>
      </c>
      <c r="I313" s="12"/>
      <c r="J313" s="12"/>
      <c r="K313" s="12"/>
      <c r="L313" s="12"/>
      <c r="M313" s="64"/>
      <c r="N313" s="12"/>
      <c r="O313" s="12"/>
      <c r="P313" s="12"/>
      <c r="Q313" s="12"/>
      <c r="R313" s="12"/>
      <c r="S313" s="12"/>
      <c r="T313" s="12"/>
      <c r="U313" s="12"/>
      <c r="V313" s="12"/>
      <c r="W313" s="7"/>
      <c r="X313" s="12"/>
      <c r="Y313" s="7">
        <f t="shared" si="5"/>
        <v>6</v>
      </c>
      <c r="Z313" s="7"/>
      <c r="AA313" s="7"/>
      <c r="AB313" s="8">
        <f>1/(1.7*10^-5)</f>
        <v>58823.529411764706</v>
      </c>
      <c r="AC313" s="8"/>
      <c r="AD313" s="4"/>
      <c r="AE313" s="4"/>
      <c r="AF313" s="4"/>
      <c r="AG313" s="4"/>
      <c r="AH313" s="9"/>
      <c r="AI313" s="9"/>
      <c r="AJ313" s="9"/>
      <c r="AK313" s="9" t="s">
        <v>30</v>
      </c>
      <c r="AL313" s="10"/>
      <c r="AM313" s="10"/>
      <c r="AN313" s="10"/>
      <c r="AO313" s="10"/>
      <c r="AP313" s="10"/>
      <c r="AQ313" s="11">
        <v>13</v>
      </c>
      <c r="AR313" s="4"/>
      <c r="AS313" s="10"/>
      <c r="AT313" s="10"/>
      <c r="AU313" s="10"/>
      <c r="AV313" s="10"/>
      <c r="AW313" s="10"/>
      <c r="AX313" s="10"/>
      <c r="AY313" s="10"/>
      <c r="AZ313" s="10"/>
      <c r="BA313" s="10"/>
      <c r="BB313" s="10"/>
      <c r="BC313" s="10"/>
      <c r="BD313" s="10"/>
    </row>
    <row r="314" spans="1:56" ht="30" x14ac:dyDescent="0.25">
      <c r="A314" s="4" t="s">
        <v>674</v>
      </c>
      <c r="B314" s="4"/>
      <c r="C314" s="4" t="s">
        <v>22</v>
      </c>
      <c r="D314" s="4" t="s">
        <v>33</v>
      </c>
      <c r="E314" s="5" t="s">
        <v>34</v>
      </c>
      <c r="F314" s="4" t="s">
        <v>672</v>
      </c>
      <c r="G314" s="4" t="s">
        <v>26</v>
      </c>
      <c r="H314" s="4" t="s">
        <v>675</v>
      </c>
      <c r="I314" s="12"/>
      <c r="J314" s="12"/>
      <c r="K314" s="12"/>
      <c r="L314" s="12"/>
      <c r="M314" s="64"/>
      <c r="N314" s="12"/>
      <c r="O314" s="12"/>
      <c r="P314" s="12"/>
      <c r="Q314" s="12"/>
      <c r="R314" s="12"/>
      <c r="S314" s="12"/>
      <c r="T314" s="12"/>
      <c r="U314" s="12"/>
      <c r="V314" s="12"/>
      <c r="W314" s="7"/>
      <c r="X314" s="12"/>
      <c r="Y314" s="7">
        <f t="shared" si="5"/>
        <v>6</v>
      </c>
      <c r="Z314" s="7"/>
      <c r="AA314" s="7"/>
      <c r="AB314" s="8">
        <f t="shared" ref="AB314:AB321" si="6">1/(1*10^-5)</f>
        <v>99999.999999999985</v>
      </c>
      <c r="AC314" s="8"/>
      <c r="AD314" s="4"/>
      <c r="AE314" s="4"/>
      <c r="AF314" s="4"/>
      <c r="AG314" s="4"/>
      <c r="AH314" s="9"/>
      <c r="AI314" s="9"/>
      <c r="AJ314" s="9"/>
      <c r="AK314" s="9" t="s">
        <v>30</v>
      </c>
      <c r="AL314" s="10"/>
      <c r="AM314" s="10"/>
      <c r="AN314" s="10"/>
      <c r="AO314" s="10"/>
      <c r="AP314" s="10"/>
      <c r="AQ314" s="11">
        <v>13</v>
      </c>
      <c r="AR314" s="4"/>
      <c r="AS314" s="10"/>
      <c r="AT314" s="10"/>
      <c r="AU314" s="10"/>
      <c r="AV314" s="10"/>
      <c r="AW314" s="10"/>
      <c r="AX314" s="10"/>
      <c r="AY314" s="10"/>
      <c r="AZ314" s="10"/>
      <c r="BA314" s="10"/>
      <c r="BB314" s="10"/>
      <c r="BC314" s="10"/>
      <c r="BD314" s="10"/>
    </row>
    <row r="315" spans="1:56" ht="30" x14ac:dyDescent="0.25">
      <c r="A315" s="4" t="s">
        <v>626</v>
      </c>
      <c r="B315" s="4"/>
      <c r="C315" s="4" t="s">
        <v>22</v>
      </c>
      <c r="D315" s="4" t="s">
        <v>33</v>
      </c>
      <c r="E315" s="5" t="s">
        <v>34</v>
      </c>
      <c r="F315" s="4" t="s">
        <v>672</v>
      </c>
      <c r="G315" s="4" t="s">
        <v>26</v>
      </c>
      <c r="H315" s="4" t="s">
        <v>637</v>
      </c>
      <c r="I315" s="12"/>
      <c r="J315" s="12"/>
      <c r="K315" s="12"/>
      <c r="L315" s="12"/>
      <c r="M315" s="64"/>
      <c r="N315" s="12"/>
      <c r="O315" s="12"/>
      <c r="P315" s="12"/>
      <c r="Q315" s="12"/>
      <c r="R315" s="12"/>
      <c r="S315" s="12"/>
      <c r="T315" s="12"/>
      <c r="U315" s="12"/>
      <c r="V315" s="12"/>
      <c r="W315" s="7"/>
      <c r="X315" s="12"/>
      <c r="Y315" s="7">
        <f t="shared" si="5"/>
        <v>6</v>
      </c>
      <c r="Z315" s="7"/>
      <c r="AA315" s="7"/>
      <c r="AB315" s="8">
        <f t="shared" si="6"/>
        <v>99999.999999999985</v>
      </c>
      <c r="AC315" s="8"/>
      <c r="AD315" s="4"/>
      <c r="AE315" s="4"/>
      <c r="AF315" s="4"/>
      <c r="AG315" s="4"/>
      <c r="AH315" s="9"/>
      <c r="AI315" s="9"/>
      <c r="AJ315" s="9"/>
      <c r="AK315" s="9" t="s">
        <v>30</v>
      </c>
      <c r="AL315" s="10"/>
      <c r="AM315" s="10"/>
      <c r="AN315" s="10"/>
      <c r="AO315" s="10"/>
      <c r="AP315" s="10"/>
      <c r="AQ315" s="11">
        <v>13</v>
      </c>
      <c r="AR315" s="4"/>
      <c r="AS315" s="10"/>
      <c r="AT315" s="10"/>
      <c r="AU315" s="10"/>
      <c r="AV315" s="10"/>
      <c r="AW315" s="10"/>
      <c r="AX315" s="10"/>
      <c r="AY315" s="10"/>
      <c r="AZ315" s="10"/>
      <c r="BA315" s="10"/>
      <c r="BB315" s="10"/>
      <c r="BC315" s="10"/>
      <c r="BD315" s="10"/>
    </row>
    <row r="316" spans="1:56" ht="30" x14ac:dyDescent="0.25">
      <c r="A316" s="4" t="s">
        <v>676</v>
      </c>
      <c r="B316" s="4"/>
      <c r="C316" s="4" t="s">
        <v>22</v>
      </c>
      <c r="D316" s="4" t="s">
        <v>33</v>
      </c>
      <c r="E316" s="5" t="s">
        <v>34</v>
      </c>
      <c r="F316" s="4" t="s">
        <v>672</v>
      </c>
      <c r="G316" s="4" t="s">
        <v>26</v>
      </c>
      <c r="H316" s="4" t="s">
        <v>1053</v>
      </c>
      <c r="I316" s="12"/>
      <c r="J316" s="12"/>
      <c r="K316" s="12"/>
      <c r="L316" s="12"/>
      <c r="M316" s="64"/>
      <c r="N316" s="12"/>
      <c r="O316" s="12"/>
      <c r="P316" s="12"/>
      <c r="Q316" s="12"/>
      <c r="R316" s="12"/>
      <c r="S316" s="12"/>
      <c r="T316" s="12"/>
      <c r="U316" s="12"/>
      <c r="V316" s="12"/>
      <c r="W316" s="7"/>
      <c r="X316" s="12"/>
      <c r="Y316" s="7">
        <f t="shared" si="5"/>
        <v>6</v>
      </c>
      <c r="Z316" s="7"/>
      <c r="AA316" s="7"/>
      <c r="AB316" s="8">
        <f t="shared" si="6"/>
        <v>99999.999999999985</v>
      </c>
      <c r="AC316" s="8"/>
      <c r="AD316" s="4"/>
      <c r="AE316" s="4"/>
      <c r="AF316" s="4"/>
      <c r="AG316" s="4"/>
      <c r="AH316" s="9"/>
      <c r="AI316" s="9"/>
      <c r="AJ316" s="9"/>
      <c r="AK316" s="9" t="s">
        <v>30</v>
      </c>
      <c r="AL316" s="10"/>
      <c r="AM316" s="10"/>
      <c r="AN316" s="10"/>
      <c r="AO316" s="10"/>
      <c r="AP316" s="10"/>
      <c r="AQ316" s="11">
        <v>13</v>
      </c>
      <c r="AR316" s="4"/>
      <c r="AS316" s="10"/>
      <c r="AT316" s="10"/>
      <c r="AU316" s="10"/>
      <c r="AV316" s="10"/>
      <c r="AW316" s="10"/>
      <c r="AX316" s="10"/>
      <c r="AY316" s="10"/>
      <c r="AZ316" s="10"/>
      <c r="BA316" s="10"/>
      <c r="BB316" s="10"/>
      <c r="BC316" s="10"/>
      <c r="BD316" s="10"/>
    </row>
    <row r="317" spans="1:56" ht="30" x14ac:dyDescent="0.25">
      <c r="A317" s="4" t="s">
        <v>677</v>
      </c>
      <c r="B317" s="4"/>
      <c r="C317" s="4" t="s">
        <v>22</v>
      </c>
      <c r="D317" s="4" t="s">
        <v>33</v>
      </c>
      <c r="E317" s="5" t="s">
        <v>34</v>
      </c>
      <c r="F317" s="4" t="s">
        <v>672</v>
      </c>
      <c r="G317" s="4" t="s">
        <v>26</v>
      </c>
      <c r="H317" s="4" t="s">
        <v>675</v>
      </c>
      <c r="I317" s="12"/>
      <c r="J317" s="12"/>
      <c r="K317" s="12"/>
      <c r="L317" s="12"/>
      <c r="M317" s="64"/>
      <c r="N317" s="12"/>
      <c r="O317" s="12"/>
      <c r="P317" s="12"/>
      <c r="Q317" s="12"/>
      <c r="R317" s="12"/>
      <c r="S317" s="12"/>
      <c r="T317" s="12"/>
      <c r="U317" s="12"/>
      <c r="V317" s="12"/>
      <c r="W317" s="7"/>
      <c r="X317" s="12"/>
      <c r="Y317" s="7">
        <f t="shared" si="5"/>
        <v>6</v>
      </c>
      <c r="Z317" s="7"/>
      <c r="AA317" s="7"/>
      <c r="AB317" s="8">
        <f t="shared" si="6"/>
        <v>99999.999999999985</v>
      </c>
      <c r="AC317" s="8"/>
      <c r="AD317" s="4"/>
      <c r="AE317" s="4"/>
      <c r="AF317" s="4"/>
      <c r="AG317" s="4"/>
      <c r="AH317" s="9"/>
      <c r="AI317" s="9"/>
      <c r="AJ317" s="9"/>
      <c r="AK317" s="9" t="s">
        <v>30</v>
      </c>
      <c r="AL317" s="10"/>
      <c r="AM317" s="10"/>
      <c r="AN317" s="10"/>
      <c r="AO317" s="10"/>
      <c r="AP317" s="10"/>
      <c r="AQ317" s="11">
        <v>13</v>
      </c>
      <c r="AR317" s="4"/>
      <c r="AS317" s="10"/>
      <c r="AT317" s="10"/>
      <c r="AU317" s="10"/>
      <c r="AV317" s="10"/>
      <c r="AW317" s="10"/>
      <c r="AX317" s="10"/>
      <c r="AY317" s="10"/>
      <c r="AZ317" s="10"/>
      <c r="BA317" s="10"/>
      <c r="BB317" s="10"/>
      <c r="BC317" s="10"/>
      <c r="BD317" s="10"/>
    </row>
    <row r="318" spans="1:56" ht="30" x14ac:dyDescent="0.25">
      <c r="A318" s="4" t="s">
        <v>627</v>
      </c>
      <c r="B318" s="4"/>
      <c r="C318" s="4" t="s">
        <v>22</v>
      </c>
      <c r="D318" s="4" t="s">
        <v>33</v>
      </c>
      <c r="E318" s="5" t="s">
        <v>34</v>
      </c>
      <c r="F318" s="4" t="s">
        <v>672</v>
      </c>
      <c r="G318" s="4" t="s">
        <v>26</v>
      </c>
      <c r="H318" s="4" t="s">
        <v>637</v>
      </c>
      <c r="I318" s="12"/>
      <c r="J318" s="12"/>
      <c r="K318" s="12"/>
      <c r="L318" s="12"/>
      <c r="M318" s="64"/>
      <c r="N318" s="12"/>
      <c r="O318" s="12"/>
      <c r="P318" s="12"/>
      <c r="Q318" s="12"/>
      <c r="R318" s="12"/>
      <c r="S318" s="12"/>
      <c r="T318" s="12"/>
      <c r="U318" s="12"/>
      <c r="V318" s="12"/>
      <c r="W318" s="7"/>
      <c r="X318" s="12"/>
      <c r="Y318" s="7">
        <f t="shared" si="5"/>
        <v>6</v>
      </c>
      <c r="Z318" s="7"/>
      <c r="AA318" s="7"/>
      <c r="AB318" s="8">
        <f t="shared" si="6"/>
        <v>99999.999999999985</v>
      </c>
      <c r="AC318" s="8"/>
      <c r="AD318" s="4"/>
      <c r="AE318" s="4"/>
      <c r="AF318" s="4"/>
      <c r="AG318" s="4"/>
      <c r="AH318" s="9"/>
      <c r="AI318" s="9"/>
      <c r="AJ318" s="9"/>
      <c r="AK318" s="9" t="s">
        <v>30</v>
      </c>
      <c r="AL318" s="10"/>
      <c r="AM318" s="10"/>
      <c r="AN318" s="10"/>
      <c r="AO318" s="10"/>
      <c r="AP318" s="10"/>
      <c r="AQ318" s="11">
        <v>13</v>
      </c>
      <c r="AR318" s="4"/>
      <c r="AS318" s="10"/>
      <c r="AT318" s="10"/>
      <c r="AU318" s="10"/>
      <c r="AV318" s="10"/>
      <c r="AW318" s="10"/>
      <c r="AX318" s="10"/>
      <c r="AY318" s="10"/>
      <c r="AZ318" s="10"/>
      <c r="BA318" s="10"/>
      <c r="BB318" s="10"/>
      <c r="BC318" s="10"/>
      <c r="BD318" s="10"/>
    </row>
    <row r="319" spans="1:56" ht="30" x14ac:dyDescent="0.25">
      <c r="A319" s="4" t="s">
        <v>629</v>
      </c>
      <c r="B319" s="4"/>
      <c r="C319" s="4" t="s">
        <v>22</v>
      </c>
      <c r="D319" s="4" t="s">
        <v>33</v>
      </c>
      <c r="E319" s="5" t="s">
        <v>34</v>
      </c>
      <c r="F319" s="4" t="s">
        <v>672</v>
      </c>
      <c r="G319" s="4" t="s">
        <v>26</v>
      </c>
      <c r="H319" s="4" t="s">
        <v>637</v>
      </c>
      <c r="I319" s="12"/>
      <c r="J319" s="12"/>
      <c r="K319" s="12"/>
      <c r="L319" s="12"/>
      <c r="M319" s="64"/>
      <c r="N319" s="12"/>
      <c r="O319" s="12"/>
      <c r="P319" s="12"/>
      <c r="Q319" s="12"/>
      <c r="R319" s="12"/>
      <c r="S319" s="12"/>
      <c r="T319" s="12"/>
      <c r="U319" s="12"/>
      <c r="V319" s="12"/>
      <c r="W319" s="7"/>
      <c r="X319" s="12"/>
      <c r="Y319" s="7">
        <f t="shared" si="5"/>
        <v>6</v>
      </c>
      <c r="Z319" s="7"/>
      <c r="AA319" s="7"/>
      <c r="AB319" s="8">
        <f t="shared" si="6"/>
        <v>99999.999999999985</v>
      </c>
      <c r="AC319" s="8"/>
      <c r="AD319" s="4"/>
      <c r="AE319" s="4"/>
      <c r="AF319" s="4"/>
      <c r="AG319" s="4"/>
      <c r="AH319" s="9"/>
      <c r="AI319" s="9"/>
      <c r="AJ319" s="9"/>
      <c r="AK319" s="9" t="s">
        <v>30</v>
      </c>
      <c r="AL319" s="10"/>
      <c r="AM319" s="10"/>
      <c r="AN319" s="10"/>
      <c r="AO319" s="10"/>
      <c r="AP319" s="10"/>
      <c r="AQ319" s="11">
        <v>13</v>
      </c>
      <c r="AR319" s="4"/>
      <c r="AS319" s="10"/>
      <c r="AT319" s="10"/>
      <c r="AU319" s="10"/>
      <c r="AV319" s="10"/>
      <c r="AW319" s="10"/>
      <c r="AX319" s="10"/>
      <c r="AY319" s="10"/>
      <c r="AZ319" s="10"/>
      <c r="BA319" s="10"/>
      <c r="BB319" s="10"/>
      <c r="BC319" s="10"/>
      <c r="BD319" s="10"/>
    </row>
    <row r="320" spans="1:56" ht="30" x14ac:dyDescent="0.25">
      <c r="A320" s="4" t="s">
        <v>603</v>
      </c>
      <c r="B320" s="4"/>
      <c r="C320" s="4" t="s">
        <v>22</v>
      </c>
      <c r="D320" s="4" t="s">
        <v>33</v>
      </c>
      <c r="E320" s="5" t="s">
        <v>34</v>
      </c>
      <c r="F320" s="4" t="s">
        <v>672</v>
      </c>
      <c r="G320" s="4" t="s">
        <v>26</v>
      </c>
      <c r="H320" s="4" t="s">
        <v>637</v>
      </c>
      <c r="I320" s="12"/>
      <c r="J320" s="12"/>
      <c r="K320" s="12"/>
      <c r="L320" s="12"/>
      <c r="M320" s="64"/>
      <c r="N320" s="12"/>
      <c r="O320" s="12"/>
      <c r="P320" s="12"/>
      <c r="Q320" s="12"/>
      <c r="R320" s="12"/>
      <c r="S320" s="12"/>
      <c r="T320" s="12"/>
      <c r="U320" s="12"/>
      <c r="V320" s="12"/>
      <c r="W320" s="7"/>
      <c r="X320" s="12"/>
      <c r="Y320" s="7">
        <f t="shared" si="5"/>
        <v>6</v>
      </c>
      <c r="Z320" s="7"/>
      <c r="AA320" s="7"/>
      <c r="AB320" s="8">
        <f t="shared" si="6"/>
        <v>99999.999999999985</v>
      </c>
      <c r="AC320" s="8"/>
      <c r="AD320" s="4"/>
      <c r="AE320" s="4"/>
      <c r="AF320" s="4"/>
      <c r="AG320" s="4"/>
      <c r="AH320" s="9"/>
      <c r="AI320" s="9"/>
      <c r="AJ320" s="9"/>
      <c r="AK320" s="9" t="s">
        <v>30</v>
      </c>
      <c r="AL320" s="10"/>
      <c r="AM320" s="10"/>
      <c r="AN320" s="10"/>
      <c r="AO320" s="10"/>
      <c r="AP320" s="10"/>
      <c r="AQ320" s="11">
        <v>13</v>
      </c>
      <c r="AR320" s="4"/>
      <c r="AS320" s="10"/>
      <c r="AT320" s="10"/>
      <c r="AU320" s="10"/>
      <c r="AV320" s="10"/>
      <c r="AW320" s="10"/>
      <c r="AX320" s="10"/>
      <c r="AY320" s="10"/>
      <c r="AZ320" s="10"/>
      <c r="BA320" s="10"/>
      <c r="BB320" s="10"/>
      <c r="BC320" s="10"/>
      <c r="BD320" s="10"/>
    </row>
    <row r="321" spans="1:56" ht="30" x14ac:dyDescent="0.25">
      <c r="A321" s="4" t="s">
        <v>586</v>
      </c>
      <c r="B321" s="4"/>
      <c r="C321" s="4" t="s">
        <v>22</v>
      </c>
      <c r="D321" s="4" t="s">
        <v>33</v>
      </c>
      <c r="E321" s="5" t="s">
        <v>34</v>
      </c>
      <c r="F321" s="4" t="s">
        <v>672</v>
      </c>
      <c r="G321" s="4" t="s">
        <v>26</v>
      </c>
      <c r="H321" s="4" t="s">
        <v>635</v>
      </c>
      <c r="I321" s="12"/>
      <c r="J321" s="12"/>
      <c r="K321" s="12"/>
      <c r="L321" s="12"/>
      <c r="M321" s="64"/>
      <c r="N321" s="12"/>
      <c r="O321" s="12"/>
      <c r="P321" s="12"/>
      <c r="Q321" s="12"/>
      <c r="R321" s="12"/>
      <c r="S321" s="12"/>
      <c r="T321" s="12"/>
      <c r="U321" s="12"/>
      <c r="V321" s="12"/>
      <c r="W321" s="7"/>
      <c r="X321" s="12"/>
      <c r="Y321" s="7">
        <f t="shared" si="5"/>
        <v>6</v>
      </c>
      <c r="Z321" s="7"/>
      <c r="AA321" s="7"/>
      <c r="AB321" s="8">
        <f t="shared" si="6"/>
        <v>99999.999999999985</v>
      </c>
      <c r="AC321" s="8"/>
      <c r="AD321" s="4"/>
      <c r="AE321" s="4"/>
      <c r="AF321" s="4"/>
      <c r="AG321" s="4"/>
      <c r="AH321" s="9"/>
      <c r="AI321" s="9"/>
      <c r="AJ321" s="9"/>
      <c r="AK321" s="9" t="s">
        <v>30</v>
      </c>
      <c r="AL321" s="10"/>
      <c r="AM321" s="10"/>
      <c r="AN321" s="10"/>
      <c r="AO321" s="10"/>
      <c r="AP321" s="10"/>
      <c r="AQ321" s="11">
        <v>13</v>
      </c>
      <c r="AR321" s="4"/>
      <c r="AS321" s="10"/>
      <c r="AT321" s="10"/>
      <c r="AU321" s="10"/>
      <c r="AV321" s="10"/>
      <c r="AW321" s="10"/>
      <c r="AX321" s="10"/>
      <c r="AY321" s="10"/>
      <c r="AZ321" s="10"/>
      <c r="BA321" s="10"/>
      <c r="BB321" s="10"/>
      <c r="BC321" s="10"/>
      <c r="BD321" s="10"/>
    </row>
    <row r="322" spans="1:56" ht="30" x14ac:dyDescent="0.25">
      <c r="A322" s="4" t="s">
        <v>587</v>
      </c>
      <c r="B322" s="4"/>
      <c r="C322" s="4" t="s">
        <v>22</v>
      </c>
      <c r="D322" s="4" t="s">
        <v>33</v>
      </c>
      <c r="E322" s="5" t="s">
        <v>34</v>
      </c>
      <c r="F322" s="4" t="s">
        <v>672</v>
      </c>
      <c r="G322" s="4" t="s">
        <v>26</v>
      </c>
      <c r="H322" s="4" t="s">
        <v>1053</v>
      </c>
      <c r="I322" s="12"/>
      <c r="J322" s="12"/>
      <c r="K322" s="12"/>
      <c r="L322" s="12"/>
      <c r="M322" s="64"/>
      <c r="N322" s="12"/>
      <c r="O322" s="12"/>
      <c r="P322" s="12"/>
      <c r="Q322" s="12"/>
      <c r="R322" s="12"/>
      <c r="S322" s="12"/>
      <c r="T322" s="12"/>
      <c r="U322" s="12"/>
      <c r="V322" s="12"/>
      <c r="W322" s="7"/>
      <c r="X322" s="12"/>
      <c r="Y322" s="7">
        <f t="shared" si="5"/>
        <v>6</v>
      </c>
      <c r="Z322" s="7"/>
      <c r="AA322" s="7"/>
      <c r="AB322" s="8">
        <f>1/(1.5*10^-5)</f>
        <v>66666.666666666657</v>
      </c>
      <c r="AC322" s="8"/>
      <c r="AD322" s="4"/>
      <c r="AE322" s="4"/>
      <c r="AF322" s="4"/>
      <c r="AG322" s="4"/>
      <c r="AH322" s="9"/>
      <c r="AI322" s="9"/>
      <c r="AJ322" s="9"/>
      <c r="AK322" s="9" t="s">
        <v>30</v>
      </c>
      <c r="AL322" s="10"/>
      <c r="AM322" s="10"/>
      <c r="AN322" s="10"/>
      <c r="AO322" s="10"/>
      <c r="AP322" s="10"/>
      <c r="AQ322" s="11">
        <v>13</v>
      </c>
      <c r="AR322" s="4"/>
      <c r="AS322" s="10"/>
      <c r="AT322" s="10"/>
      <c r="AU322" s="10"/>
      <c r="AV322" s="10"/>
      <c r="AW322" s="10"/>
      <c r="AX322" s="10"/>
      <c r="AY322" s="10"/>
      <c r="AZ322" s="10"/>
      <c r="BA322" s="10"/>
      <c r="BB322" s="10"/>
      <c r="BC322" s="10"/>
      <c r="BD322" s="10"/>
    </row>
    <row r="323" spans="1:56" ht="30" x14ac:dyDescent="0.25">
      <c r="A323" s="4" t="s">
        <v>590</v>
      </c>
      <c r="B323" s="4"/>
      <c r="C323" s="4" t="s">
        <v>22</v>
      </c>
      <c r="D323" s="4" t="s">
        <v>33</v>
      </c>
      <c r="E323" s="5" t="s">
        <v>34</v>
      </c>
      <c r="F323" s="4" t="s">
        <v>672</v>
      </c>
      <c r="G323" s="4" t="s">
        <v>26</v>
      </c>
      <c r="H323" s="4" t="s">
        <v>651</v>
      </c>
      <c r="I323" s="12"/>
      <c r="J323" s="12"/>
      <c r="K323" s="12"/>
      <c r="L323" s="12"/>
      <c r="M323" s="64"/>
      <c r="N323" s="12"/>
      <c r="O323" s="12"/>
      <c r="P323" s="12"/>
      <c r="Q323" s="12"/>
      <c r="R323" s="12"/>
      <c r="S323" s="12"/>
      <c r="T323" s="12"/>
      <c r="U323" s="12"/>
      <c r="V323" s="12"/>
      <c r="W323" s="7"/>
      <c r="X323" s="12"/>
      <c r="Y323" s="7">
        <f t="shared" si="5"/>
        <v>6</v>
      </c>
      <c r="Z323" s="7"/>
      <c r="AA323" s="7"/>
      <c r="AB323" s="8">
        <f>1/(1*10^-5)</f>
        <v>99999.999999999985</v>
      </c>
      <c r="AC323" s="8"/>
      <c r="AD323" s="4"/>
      <c r="AE323" s="4"/>
      <c r="AF323" s="4"/>
      <c r="AG323" s="4"/>
      <c r="AH323" s="9"/>
      <c r="AI323" s="9"/>
      <c r="AJ323" s="9"/>
      <c r="AK323" s="9" t="s">
        <v>30</v>
      </c>
      <c r="AL323" s="10"/>
      <c r="AM323" s="10"/>
      <c r="AN323" s="10"/>
      <c r="AO323" s="10"/>
      <c r="AP323" s="10"/>
      <c r="AQ323" s="11">
        <v>13</v>
      </c>
      <c r="AR323" s="4"/>
      <c r="AS323" s="10"/>
      <c r="AT323" s="10"/>
      <c r="AU323" s="10"/>
      <c r="AV323" s="10"/>
      <c r="AW323" s="10"/>
      <c r="AX323" s="10"/>
      <c r="AY323" s="10"/>
      <c r="AZ323" s="10"/>
      <c r="BA323" s="10"/>
      <c r="BB323" s="10"/>
      <c r="BC323" s="10"/>
      <c r="BD323" s="10"/>
    </row>
    <row r="324" spans="1:56" ht="30" x14ac:dyDescent="0.25">
      <c r="A324" s="4" t="s">
        <v>618</v>
      </c>
      <c r="B324" s="4"/>
      <c r="C324" s="4" t="s">
        <v>22</v>
      </c>
      <c r="D324" s="4" t="s">
        <v>33</v>
      </c>
      <c r="E324" s="5" t="s">
        <v>34</v>
      </c>
      <c r="F324" s="4" t="s">
        <v>672</v>
      </c>
      <c r="G324" s="4" t="s">
        <v>26</v>
      </c>
      <c r="H324" s="4" t="s">
        <v>675</v>
      </c>
      <c r="I324" s="12"/>
      <c r="J324" s="12"/>
      <c r="K324" s="12"/>
      <c r="L324" s="12"/>
      <c r="M324" s="64"/>
      <c r="N324" s="12"/>
      <c r="O324" s="12"/>
      <c r="P324" s="12"/>
      <c r="Q324" s="12"/>
      <c r="R324" s="12"/>
      <c r="S324" s="12"/>
      <c r="T324" s="12"/>
      <c r="U324" s="12"/>
      <c r="V324" s="12"/>
      <c r="W324" s="7"/>
      <c r="X324" s="12"/>
      <c r="Y324" s="7">
        <f t="shared" si="5"/>
        <v>6</v>
      </c>
      <c r="Z324" s="7"/>
      <c r="AA324" s="7"/>
      <c r="AB324" s="8">
        <f>1/(1*10^-5)</f>
        <v>99999.999999999985</v>
      </c>
      <c r="AC324" s="8"/>
      <c r="AD324" s="4"/>
      <c r="AE324" s="4"/>
      <c r="AF324" s="4"/>
      <c r="AG324" s="4"/>
      <c r="AH324" s="9"/>
      <c r="AI324" s="9"/>
      <c r="AJ324" s="9"/>
      <c r="AK324" s="9" t="s">
        <v>30</v>
      </c>
      <c r="AL324" s="10"/>
      <c r="AM324" s="10"/>
      <c r="AN324" s="10"/>
      <c r="AO324" s="10"/>
      <c r="AP324" s="10"/>
      <c r="AQ324" s="11">
        <v>13</v>
      </c>
      <c r="AR324" s="4"/>
      <c r="AS324" s="10"/>
      <c r="AT324" s="10"/>
      <c r="AU324" s="10"/>
      <c r="AV324" s="10"/>
      <c r="AW324" s="10"/>
      <c r="AX324" s="10"/>
      <c r="AY324" s="10"/>
      <c r="AZ324" s="10"/>
      <c r="BA324" s="10"/>
      <c r="BB324" s="10"/>
      <c r="BC324" s="10"/>
      <c r="BD324" s="10"/>
    </row>
    <row r="325" spans="1:56" ht="30" x14ac:dyDescent="0.25">
      <c r="A325" s="4" t="s">
        <v>631</v>
      </c>
      <c r="B325" s="4"/>
      <c r="C325" s="4" t="s">
        <v>22</v>
      </c>
      <c r="D325" s="4" t="s">
        <v>33</v>
      </c>
      <c r="E325" s="5" t="s">
        <v>34</v>
      </c>
      <c r="F325" s="4" t="s">
        <v>672</v>
      </c>
      <c r="G325" s="4" t="s">
        <v>26</v>
      </c>
      <c r="H325" s="4" t="s">
        <v>637</v>
      </c>
      <c r="I325" s="12"/>
      <c r="J325" s="12"/>
      <c r="K325" s="12"/>
      <c r="L325" s="12"/>
      <c r="M325" s="64"/>
      <c r="N325" s="12"/>
      <c r="O325" s="12"/>
      <c r="P325" s="12"/>
      <c r="Q325" s="12"/>
      <c r="R325" s="12"/>
      <c r="S325" s="12"/>
      <c r="T325" s="12"/>
      <c r="U325" s="12"/>
      <c r="V325" s="12"/>
      <c r="W325" s="7"/>
      <c r="X325" s="12"/>
      <c r="Y325" s="7">
        <f t="shared" si="5"/>
        <v>6</v>
      </c>
      <c r="Z325" s="7"/>
      <c r="AA325" s="7"/>
      <c r="AB325" s="8">
        <f>1/(5.99*10^-6)</f>
        <v>166944.9081803005</v>
      </c>
      <c r="AC325" s="8"/>
      <c r="AD325" s="4"/>
      <c r="AE325" s="4"/>
      <c r="AF325" s="4"/>
      <c r="AG325" s="4"/>
      <c r="AH325" s="9"/>
      <c r="AI325" s="9"/>
      <c r="AJ325" s="9"/>
      <c r="AK325" s="9" t="s">
        <v>30</v>
      </c>
      <c r="AL325" s="10"/>
      <c r="AM325" s="10"/>
      <c r="AN325" s="10"/>
      <c r="AO325" s="10"/>
      <c r="AP325" s="10"/>
      <c r="AQ325" s="11">
        <v>13</v>
      </c>
      <c r="AR325" s="4"/>
      <c r="AS325" s="10"/>
      <c r="AT325" s="10"/>
      <c r="AU325" s="10"/>
      <c r="AV325" s="10"/>
      <c r="AW325" s="10"/>
      <c r="AX325" s="10"/>
      <c r="AY325" s="10"/>
      <c r="AZ325" s="10"/>
      <c r="BA325" s="10"/>
      <c r="BB325" s="10"/>
      <c r="BC325" s="10"/>
      <c r="BD325" s="10"/>
    </row>
    <row r="326" spans="1:56" ht="90" x14ac:dyDescent="0.25">
      <c r="A326" s="4" t="s">
        <v>678</v>
      </c>
      <c r="B326" s="4"/>
      <c r="C326" s="4" t="s">
        <v>139</v>
      </c>
      <c r="D326" s="4" t="s">
        <v>23</v>
      </c>
      <c r="E326" s="5" t="s">
        <v>34</v>
      </c>
      <c r="F326" s="4"/>
      <c r="G326" s="4" t="s">
        <v>35</v>
      </c>
      <c r="H326" s="62" t="s">
        <v>1059</v>
      </c>
      <c r="I326" s="12">
        <v>154</v>
      </c>
      <c r="J326" s="12">
        <v>154</v>
      </c>
      <c r="K326" s="12"/>
      <c r="L326" s="12">
        <v>0.8</v>
      </c>
      <c r="M326" s="64">
        <v>0.8</v>
      </c>
      <c r="N326" s="12"/>
      <c r="O326" s="12">
        <v>98.44</v>
      </c>
      <c r="P326" s="12">
        <v>98.44</v>
      </c>
      <c r="Q326" s="12"/>
      <c r="R326" s="12">
        <v>448.54</v>
      </c>
      <c r="S326" s="12">
        <v>448.54</v>
      </c>
      <c r="T326" s="12"/>
      <c r="U326" s="12">
        <v>95.48</v>
      </c>
      <c r="V326" s="12">
        <v>95.48</v>
      </c>
      <c r="W326" s="7"/>
      <c r="X326" s="12"/>
      <c r="Y326" s="7">
        <v>3</v>
      </c>
      <c r="Z326" s="7"/>
      <c r="AA326" s="7"/>
      <c r="AB326" s="8"/>
      <c r="AC326" s="7"/>
      <c r="AD326" s="4"/>
      <c r="AE326" s="4"/>
      <c r="AF326" s="4"/>
      <c r="AG326" s="4"/>
      <c r="AH326" s="9"/>
      <c r="AI326" s="9"/>
      <c r="AJ326" s="9"/>
      <c r="AK326" s="9" t="s">
        <v>30</v>
      </c>
      <c r="AL326" s="10"/>
      <c r="AM326" s="10"/>
      <c r="AN326" s="10"/>
      <c r="AO326" s="10"/>
      <c r="AP326" s="10"/>
      <c r="AQ326" s="11" t="s">
        <v>679</v>
      </c>
      <c r="AR326" s="4"/>
      <c r="AS326" s="10" t="s">
        <v>879</v>
      </c>
      <c r="AT326" s="10"/>
      <c r="AU326" s="10"/>
      <c r="AV326" s="10"/>
      <c r="AW326" s="10"/>
      <c r="AX326" s="10"/>
      <c r="AY326" s="10"/>
      <c r="AZ326" s="10"/>
      <c r="BA326" s="10"/>
      <c r="BB326" s="10"/>
      <c r="BC326" s="10"/>
      <c r="BD326" s="10"/>
    </row>
    <row r="327" spans="1:56" ht="30" x14ac:dyDescent="0.25">
      <c r="A327" s="4" t="s">
        <v>81</v>
      </c>
      <c r="B327" s="4"/>
      <c r="C327" s="4" t="s">
        <v>139</v>
      </c>
      <c r="D327" s="4" t="s">
        <v>23</v>
      </c>
      <c r="E327" s="5" t="s">
        <v>34</v>
      </c>
      <c r="F327" s="4" t="s">
        <v>678</v>
      </c>
      <c r="G327" s="4" t="s">
        <v>26</v>
      </c>
      <c r="H327" s="4" t="s">
        <v>1053</v>
      </c>
      <c r="I327" s="12"/>
      <c r="J327" s="12"/>
      <c r="K327" s="12"/>
      <c r="L327" s="12"/>
      <c r="M327" s="64"/>
      <c r="N327" s="12"/>
      <c r="O327" s="12"/>
      <c r="P327" s="12"/>
      <c r="Q327" s="12"/>
      <c r="R327" s="12"/>
      <c r="S327" s="12"/>
      <c r="T327" s="12"/>
      <c r="U327" s="12"/>
      <c r="V327" s="12"/>
      <c r="W327" s="7"/>
      <c r="X327" s="12"/>
      <c r="Y327" s="7"/>
      <c r="Z327" s="7"/>
      <c r="AA327" s="7"/>
      <c r="AB327" s="8">
        <f>1/(8*10^-6)</f>
        <v>125000</v>
      </c>
      <c r="AC327" s="7"/>
      <c r="AD327" s="4"/>
      <c r="AE327" s="4"/>
      <c r="AF327" s="4"/>
      <c r="AG327" s="4"/>
      <c r="AH327" s="9"/>
      <c r="AI327" s="9"/>
      <c r="AJ327" s="9"/>
      <c r="AK327" s="9" t="s">
        <v>30</v>
      </c>
      <c r="AL327" s="10"/>
      <c r="AM327" s="10"/>
      <c r="AN327" s="10"/>
      <c r="AO327" s="10"/>
      <c r="AP327" s="10"/>
      <c r="AQ327" s="11">
        <v>13</v>
      </c>
      <c r="AR327" s="4"/>
      <c r="AS327" s="10"/>
      <c r="AT327" s="10"/>
      <c r="AU327" s="10"/>
      <c r="AV327" s="10"/>
      <c r="AW327" s="10"/>
      <c r="AX327" s="10"/>
      <c r="AY327" s="10"/>
      <c r="AZ327" s="10"/>
      <c r="BA327" s="10"/>
      <c r="BB327" s="10"/>
      <c r="BC327" s="10"/>
      <c r="BD327" s="10"/>
    </row>
    <row r="328" spans="1:56" ht="30" x14ac:dyDescent="0.25">
      <c r="A328" s="4" t="s">
        <v>668</v>
      </c>
      <c r="B328" s="4"/>
      <c r="C328" s="4" t="s">
        <v>139</v>
      </c>
      <c r="D328" s="4" t="s">
        <v>23</v>
      </c>
      <c r="E328" s="5" t="s">
        <v>34</v>
      </c>
      <c r="F328" s="4" t="s">
        <v>678</v>
      </c>
      <c r="G328" s="4" t="s">
        <v>26</v>
      </c>
      <c r="H328" s="4" t="s">
        <v>1053</v>
      </c>
      <c r="I328" s="12"/>
      <c r="J328" s="12"/>
      <c r="K328" s="12"/>
      <c r="L328" s="12"/>
      <c r="M328" s="64"/>
      <c r="N328" s="12"/>
      <c r="O328" s="12"/>
      <c r="P328" s="12"/>
      <c r="Q328" s="12"/>
      <c r="R328" s="12"/>
      <c r="S328" s="12"/>
      <c r="T328" s="12"/>
      <c r="U328" s="12"/>
      <c r="V328" s="12"/>
      <c r="W328" s="7"/>
      <c r="X328" s="12"/>
      <c r="Y328" s="7"/>
      <c r="Z328" s="7"/>
      <c r="AA328" s="7"/>
      <c r="AB328" s="8">
        <f>1/(5*10^-7)</f>
        <v>2000000</v>
      </c>
      <c r="AC328" s="7"/>
      <c r="AD328" s="4"/>
      <c r="AE328" s="4"/>
      <c r="AF328" s="4"/>
      <c r="AG328" s="4"/>
      <c r="AH328" s="9"/>
      <c r="AI328" s="9"/>
      <c r="AJ328" s="9"/>
      <c r="AK328" s="9" t="s">
        <v>30</v>
      </c>
      <c r="AL328" s="10"/>
      <c r="AM328" s="10"/>
      <c r="AN328" s="10"/>
      <c r="AO328" s="10"/>
      <c r="AP328" s="10"/>
      <c r="AQ328" s="11">
        <v>13</v>
      </c>
      <c r="AR328" s="4"/>
      <c r="AS328" s="10"/>
      <c r="AT328" s="10"/>
      <c r="AU328" s="10"/>
      <c r="AV328" s="10"/>
      <c r="AW328" s="10"/>
      <c r="AX328" s="10"/>
      <c r="AY328" s="10"/>
      <c r="AZ328" s="10"/>
      <c r="BA328" s="10"/>
      <c r="BB328" s="10"/>
      <c r="BC328" s="10"/>
      <c r="BD328" s="10"/>
    </row>
    <row r="329" spans="1:56" ht="30" x14ac:dyDescent="0.25">
      <c r="A329" s="4" t="s">
        <v>680</v>
      </c>
      <c r="B329" s="4"/>
      <c r="C329" s="4" t="s">
        <v>139</v>
      </c>
      <c r="D329" s="4" t="s">
        <v>23</v>
      </c>
      <c r="E329" s="5" t="s">
        <v>34</v>
      </c>
      <c r="F329" s="4" t="s">
        <v>678</v>
      </c>
      <c r="G329" s="4" t="s">
        <v>26</v>
      </c>
      <c r="H329" s="4" t="s">
        <v>637</v>
      </c>
      <c r="I329" s="12"/>
      <c r="J329" s="12"/>
      <c r="K329" s="12"/>
      <c r="L329" s="12"/>
      <c r="M329" s="64"/>
      <c r="N329" s="12"/>
      <c r="O329" s="12"/>
      <c r="P329" s="12"/>
      <c r="Q329" s="12"/>
      <c r="R329" s="12"/>
      <c r="S329" s="12"/>
      <c r="T329" s="12"/>
      <c r="U329" s="12"/>
      <c r="V329" s="12"/>
      <c r="W329" s="7"/>
      <c r="X329" s="12"/>
      <c r="Y329" s="7"/>
      <c r="Z329" s="7"/>
      <c r="AA329" s="7"/>
      <c r="AB329" s="8">
        <f>1/(2.5*10^-5)</f>
        <v>40000</v>
      </c>
      <c r="AC329" s="7"/>
      <c r="AD329" s="4"/>
      <c r="AE329" s="4"/>
      <c r="AF329" s="4"/>
      <c r="AG329" s="4"/>
      <c r="AH329" s="9"/>
      <c r="AI329" s="9"/>
      <c r="AJ329" s="9"/>
      <c r="AK329" s="9" t="s">
        <v>30</v>
      </c>
      <c r="AL329" s="10"/>
      <c r="AM329" s="10"/>
      <c r="AN329" s="10"/>
      <c r="AO329" s="10"/>
      <c r="AP329" s="10"/>
      <c r="AQ329" s="11">
        <v>13</v>
      </c>
      <c r="AR329" s="4"/>
      <c r="AS329" s="10"/>
      <c r="AT329" s="10"/>
      <c r="AU329" s="10"/>
      <c r="AV329" s="10"/>
      <c r="AW329" s="10"/>
      <c r="AX329" s="10"/>
      <c r="AY329" s="10"/>
      <c r="AZ329" s="10"/>
      <c r="BA329" s="10"/>
      <c r="BB329" s="10"/>
      <c r="BC329" s="10"/>
      <c r="BD329" s="10"/>
    </row>
    <row r="330" spans="1:56" ht="30" x14ac:dyDescent="0.25">
      <c r="A330" s="4" t="s">
        <v>596</v>
      </c>
      <c r="B330" s="4"/>
      <c r="C330" s="4" t="s">
        <v>139</v>
      </c>
      <c r="D330" s="4" t="s">
        <v>23</v>
      </c>
      <c r="E330" s="5" t="s">
        <v>34</v>
      </c>
      <c r="F330" s="4" t="s">
        <v>678</v>
      </c>
      <c r="G330" s="4" t="s">
        <v>26</v>
      </c>
      <c r="H330" s="4" t="s">
        <v>1053</v>
      </c>
      <c r="I330" s="12"/>
      <c r="J330" s="12"/>
      <c r="K330" s="12"/>
      <c r="L330" s="12"/>
      <c r="M330" s="64"/>
      <c r="N330" s="12"/>
      <c r="O330" s="12"/>
      <c r="P330" s="12"/>
      <c r="Q330" s="12"/>
      <c r="R330" s="12"/>
      <c r="S330" s="12"/>
      <c r="T330" s="12"/>
      <c r="U330" s="12"/>
      <c r="V330" s="12"/>
      <c r="W330" s="7"/>
      <c r="X330" s="12"/>
      <c r="Y330" s="7"/>
      <c r="Z330" s="7"/>
      <c r="AA330" s="7"/>
      <c r="AB330" s="8">
        <f t="shared" ref="AB330:AB335" si="7">1/(10^-5)</f>
        <v>99999.999999999985</v>
      </c>
      <c r="AC330" s="7"/>
      <c r="AD330" s="4"/>
      <c r="AE330" s="4"/>
      <c r="AF330" s="4"/>
      <c r="AG330" s="4"/>
      <c r="AH330" s="9"/>
      <c r="AI330" s="9"/>
      <c r="AJ330" s="9"/>
      <c r="AK330" s="9" t="s">
        <v>30</v>
      </c>
      <c r="AL330" s="10"/>
      <c r="AM330" s="10"/>
      <c r="AN330" s="10"/>
      <c r="AO330" s="10"/>
      <c r="AP330" s="10"/>
      <c r="AQ330" s="11">
        <v>13</v>
      </c>
      <c r="AR330" s="4"/>
      <c r="AS330" s="10"/>
      <c r="AT330" s="10"/>
      <c r="AU330" s="10"/>
      <c r="AV330" s="10"/>
      <c r="AW330" s="10"/>
      <c r="AX330" s="10"/>
      <c r="AY330" s="10"/>
      <c r="AZ330" s="10"/>
      <c r="BA330" s="10"/>
      <c r="BB330" s="10"/>
      <c r="BC330" s="10"/>
      <c r="BD330" s="10"/>
    </row>
    <row r="331" spans="1:56" ht="30" x14ac:dyDescent="0.25">
      <c r="A331" s="4" t="s">
        <v>626</v>
      </c>
      <c r="B331" s="4"/>
      <c r="C331" s="4" t="s">
        <v>139</v>
      </c>
      <c r="D331" s="4" t="s">
        <v>23</v>
      </c>
      <c r="E331" s="5" t="s">
        <v>34</v>
      </c>
      <c r="F331" s="4" t="s">
        <v>678</v>
      </c>
      <c r="G331" s="4" t="s">
        <v>26</v>
      </c>
      <c r="H331" s="4" t="s">
        <v>651</v>
      </c>
      <c r="I331" s="12"/>
      <c r="J331" s="12"/>
      <c r="K331" s="12"/>
      <c r="L331" s="12"/>
      <c r="M331" s="64"/>
      <c r="N331" s="12"/>
      <c r="O331" s="12"/>
      <c r="P331" s="12"/>
      <c r="Q331" s="12"/>
      <c r="R331" s="12"/>
      <c r="S331" s="12"/>
      <c r="T331" s="12"/>
      <c r="U331" s="12"/>
      <c r="V331" s="12"/>
      <c r="W331" s="7"/>
      <c r="X331" s="12"/>
      <c r="Y331" s="7"/>
      <c r="Z331" s="7"/>
      <c r="AA331" s="7"/>
      <c r="AB331" s="8">
        <f t="shared" si="7"/>
        <v>99999.999999999985</v>
      </c>
      <c r="AC331" s="7"/>
      <c r="AD331" s="4"/>
      <c r="AE331" s="4"/>
      <c r="AF331" s="4"/>
      <c r="AG331" s="4"/>
      <c r="AH331" s="9"/>
      <c r="AI331" s="9"/>
      <c r="AJ331" s="9"/>
      <c r="AK331" s="9" t="s">
        <v>30</v>
      </c>
      <c r="AL331" s="10"/>
      <c r="AM331" s="10"/>
      <c r="AN331" s="10"/>
      <c r="AO331" s="10"/>
      <c r="AP331" s="10"/>
      <c r="AQ331" s="11">
        <v>13</v>
      </c>
      <c r="AR331" s="4"/>
      <c r="AS331" s="10"/>
      <c r="AT331" s="10"/>
      <c r="AU331" s="10"/>
      <c r="AV331" s="10"/>
      <c r="AW331" s="10"/>
      <c r="AX331" s="10"/>
      <c r="AY331" s="10"/>
      <c r="AZ331" s="10"/>
      <c r="BA331" s="10"/>
      <c r="BB331" s="10"/>
      <c r="BC331" s="10"/>
      <c r="BD331" s="10"/>
    </row>
    <row r="332" spans="1:56" ht="30" x14ac:dyDescent="0.25">
      <c r="A332" s="4" t="s">
        <v>600</v>
      </c>
      <c r="B332" s="4"/>
      <c r="C332" s="4" t="s">
        <v>139</v>
      </c>
      <c r="D332" s="4" t="s">
        <v>23</v>
      </c>
      <c r="E332" s="5" t="s">
        <v>34</v>
      </c>
      <c r="F332" s="4" t="s">
        <v>678</v>
      </c>
      <c r="G332" s="4" t="s">
        <v>26</v>
      </c>
      <c r="H332" s="4" t="s">
        <v>637</v>
      </c>
      <c r="I332" s="12"/>
      <c r="J332" s="12"/>
      <c r="K332" s="12"/>
      <c r="L332" s="12"/>
      <c r="M332" s="64"/>
      <c r="N332" s="12"/>
      <c r="O332" s="12"/>
      <c r="P332" s="12"/>
      <c r="Q332" s="12"/>
      <c r="R332" s="12"/>
      <c r="S332" s="12"/>
      <c r="T332" s="12"/>
      <c r="U332" s="12"/>
      <c r="V332" s="12"/>
      <c r="W332" s="7"/>
      <c r="X332" s="12"/>
      <c r="Y332" s="7"/>
      <c r="Z332" s="7"/>
      <c r="AA332" s="7"/>
      <c r="AB332" s="8">
        <f t="shared" si="7"/>
        <v>99999.999999999985</v>
      </c>
      <c r="AC332" s="7"/>
      <c r="AD332" s="4"/>
      <c r="AE332" s="4"/>
      <c r="AF332" s="4"/>
      <c r="AG332" s="4"/>
      <c r="AH332" s="9"/>
      <c r="AI332" s="9"/>
      <c r="AJ332" s="9"/>
      <c r="AK332" s="9" t="s">
        <v>30</v>
      </c>
      <c r="AL332" s="10"/>
      <c r="AM332" s="10"/>
      <c r="AN332" s="10"/>
      <c r="AO332" s="10"/>
      <c r="AP332" s="10"/>
      <c r="AQ332" s="11">
        <v>13</v>
      </c>
      <c r="AR332" s="4"/>
      <c r="AS332" s="10"/>
      <c r="AT332" s="10"/>
      <c r="AU332" s="10"/>
      <c r="AV332" s="10"/>
      <c r="AW332" s="10"/>
      <c r="AX332" s="10"/>
      <c r="AY332" s="10"/>
      <c r="AZ332" s="10"/>
      <c r="BA332" s="10"/>
      <c r="BB332" s="10"/>
      <c r="BC332" s="10"/>
      <c r="BD332" s="10"/>
    </row>
    <row r="333" spans="1:56" ht="30" x14ac:dyDescent="0.25">
      <c r="A333" s="4" t="s">
        <v>627</v>
      </c>
      <c r="B333" s="4"/>
      <c r="C333" s="4" t="s">
        <v>139</v>
      </c>
      <c r="D333" s="4" t="s">
        <v>23</v>
      </c>
      <c r="E333" s="5" t="s">
        <v>34</v>
      </c>
      <c r="F333" s="4" t="s">
        <v>678</v>
      </c>
      <c r="G333" s="4" t="s">
        <v>26</v>
      </c>
      <c r="H333" s="4" t="s">
        <v>637</v>
      </c>
      <c r="I333" s="12"/>
      <c r="J333" s="12"/>
      <c r="K333" s="12"/>
      <c r="L333" s="12"/>
      <c r="M333" s="64"/>
      <c r="N333" s="12"/>
      <c r="O333" s="12"/>
      <c r="P333" s="12"/>
      <c r="Q333" s="12"/>
      <c r="R333" s="12"/>
      <c r="S333" s="12"/>
      <c r="T333" s="12"/>
      <c r="U333" s="12"/>
      <c r="V333" s="12"/>
      <c r="W333" s="7"/>
      <c r="X333" s="12"/>
      <c r="Y333" s="7"/>
      <c r="Z333" s="7"/>
      <c r="AA333" s="7"/>
      <c r="AB333" s="8">
        <f t="shared" si="7"/>
        <v>99999.999999999985</v>
      </c>
      <c r="AC333" s="7"/>
      <c r="AD333" s="4"/>
      <c r="AE333" s="4"/>
      <c r="AF333" s="4"/>
      <c r="AG333" s="4"/>
      <c r="AH333" s="9"/>
      <c r="AI333" s="9"/>
      <c r="AJ333" s="9"/>
      <c r="AK333" s="9" t="s">
        <v>30</v>
      </c>
      <c r="AL333" s="10"/>
      <c r="AM333" s="10"/>
      <c r="AN333" s="10"/>
      <c r="AO333" s="10"/>
      <c r="AP333" s="10"/>
      <c r="AQ333" s="11">
        <v>13</v>
      </c>
      <c r="AR333" s="4"/>
      <c r="AS333" s="10"/>
      <c r="AT333" s="10"/>
      <c r="AU333" s="10"/>
      <c r="AV333" s="10"/>
      <c r="AW333" s="10"/>
      <c r="AX333" s="10"/>
      <c r="AY333" s="10"/>
      <c r="AZ333" s="10"/>
      <c r="BA333" s="10"/>
      <c r="BB333" s="10"/>
      <c r="BC333" s="10"/>
      <c r="BD333" s="10"/>
    </row>
    <row r="334" spans="1:56" ht="30" x14ac:dyDescent="0.25">
      <c r="A334" s="4" t="s">
        <v>586</v>
      </c>
      <c r="B334" s="4"/>
      <c r="C334" s="4" t="s">
        <v>139</v>
      </c>
      <c r="D334" s="4" t="s">
        <v>23</v>
      </c>
      <c r="E334" s="5" t="s">
        <v>34</v>
      </c>
      <c r="F334" s="4" t="s">
        <v>678</v>
      </c>
      <c r="G334" s="4" t="s">
        <v>26</v>
      </c>
      <c r="H334" s="4" t="s">
        <v>638</v>
      </c>
      <c r="I334" s="12"/>
      <c r="J334" s="12"/>
      <c r="K334" s="12"/>
      <c r="L334" s="12"/>
      <c r="M334" s="64"/>
      <c r="N334" s="12"/>
      <c r="O334" s="12"/>
      <c r="P334" s="12"/>
      <c r="Q334" s="12"/>
      <c r="R334" s="12"/>
      <c r="S334" s="12"/>
      <c r="T334" s="12"/>
      <c r="U334" s="12"/>
      <c r="V334" s="12"/>
      <c r="W334" s="7"/>
      <c r="X334" s="12"/>
      <c r="Y334" s="7"/>
      <c r="Z334" s="7"/>
      <c r="AA334" s="7"/>
      <c r="AB334" s="8">
        <f t="shared" si="7"/>
        <v>99999.999999999985</v>
      </c>
      <c r="AC334" s="7"/>
      <c r="AD334" s="4"/>
      <c r="AE334" s="4"/>
      <c r="AF334" s="4"/>
      <c r="AG334" s="4"/>
      <c r="AH334" s="9"/>
      <c r="AI334" s="9"/>
      <c r="AJ334" s="9"/>
      <c r="AK334" s="9" t="s">
        <v>30</v>
      </c>
      <c r="AL334" s="10"/>
      <c r="AM334" s="10"/>
      <c r="AN334" s="10"/>
      <c r="AO334" s="10"/>
      <c r="AP334" s="10"/>
      <c r="AQ334" s="11">
        <v>13</v>
      </c>
      <c r="AR334" s="4"/>
      <c r="AS334" s="10"/>
      <c r="AT334" s="10"/>
      <c r="AU334" s="10"/>
      <c r="AV334" s="10"/>
      <c r="AW334" s="10"/>
      <c r="AX334" s="10"/>
      <c r="AY334" s="10"/>
      <c r="AZ334" s="10"/>
      <c r="BA334" s="10"/>
      <c r="BB334" s="10"/>
      <c r="BC334" s="10"/>
      <c r="BD334" s="10"/>
    </row>
    <row r="335" spans="1:56" ht="30" x14ac:dyDescent="0.25">
      <c r="A335" s="4" t="s">
        <v>590</v>
      </c>
      <c r="B335" s="4"/>
      <c r="C335" s="4" t="s">
        <v>139</v>
      </c>
      <c r="D335" s="4" t="s">
        <v>23</v>
      </c>
      <c r="E335" s="5" t="s">
        <v>34</v>
      </c>
      <c r="F335" s="4" t="s">
        <v>678</v>
      </c>
      <c r="G335" s="4" t="s">
        <v>26</v>
      </c>
      <c r="H335" s="4" t="s">
        <v>651</v>
      </c>
      <c r="I335" s="12"/>
      <c r="J335" s="12"/>
      <c r="K335" s="12"/>
      <c r="L335" s="12"/>
      <c r="M335" s="64"/>
      <c r="N335" s="12"/>
      <c r="O335" s="12"/>
      <c r="P335" s="12"/>
      <c r="Q335" s="12"/>
      <c r="R335" s="12"/>
      <c r="S335" s="12"/>
      <c r="T335" s="12"/>
      <c r="U335" s="12"/>
      <c r="V335" s="12"/>
      <c r="W335" s="7"/>
      <c r="X335" s="12"/>
      <c r="Y335" s="7"/>
      <c r="Z335" s="7"/>
      <c r="AA335" s="7"/>
      <c r="AB335" s="8">
        <f t="shared" si="7"/>
        <v>99999.999999999985</v>
      </c>
      <c r="AC335" s="7"/>
      <c r="AD335" s="4"/>
      <c r="AE335" s="4"/>
      <c r="AF335" s="4"/>
      <c r="AG335" s="4"/>
      <c r="AH335" s="9"/>
      <c r="AI335" s="9"/>
      <c r="AJ335" s="9"/>
      <c r="AK335" s="9" t="s">
        <v>30</v>
      </c>
      <c r="AL335" s="10"/>
      <c r="AM335" s="10"/>
      <c r="AN335" s="10"/>
      <c r="AO335" s="10"/>
      <c r="AP335" s="10"/>
      <c r="AQ335" s="11">
        <v>13</v>
      </c>
      <c r="AR335" s="4"/>
      <c r="AS335" s="10"/>
      <c r="AT335" s="10"/>
      <c r="AU335" s="10"/>
      <c r="AV335" s="10"/>
      <c r="AW335" s="10"/>
      <c r="AX335" s="10"/>
      <c r="AY335" s="10"/>
      <c r="AZ335" s="10"/>
      <c r="BA335" s="10"/>
      <c r="BB335" s="10"/>
      <c r="BC335" s="10"/>
      <c r="BD335" s="10"/>
    </row>
    <row r="336" spans="1:56" ht="30" x14ac:dyDescent="0.25">
      <c r="A336" s="4" t="s">
        <v>591</v>
      </c>
      <c r="B336" s="4"/>
      <c r="C336" s="4" t="s">
        <v>139</v>
      </c>
      <c r="D336" s="4" t="s">
        <v>23</v>
      </c>
      <c r="E336" s="5" t="s">
        <v>34</v>
      </c>
      <c r="F336" s="4" t="s">
        <v>678</v>
      </c>
      <c r="G336" s="4" t="s">
        <v>26</v>
      </c>
      <c r="H336" s="4" t="s">
        <v>1053</v>
      </c>
      <c r="I336" s="12"/>
      <c r="J336" s="12"/>
      <c r="K336" s="12"/>
      <c r="L336" s="12"/>
      <c r="M336" s="64"/>
      <c r="N336" s="12"/>
      <c r="O336" s="12"/>
      <c r="P336" s="12"/>
      <c r="Q336" s="12"/>
      <c r="R336" s="12"/>
      <c r="S336" s="12"/>
      <c r="T336" s="12"/>
      <c r="U336" s="12"/>
      <c r="V336" s="12"/>
      <c r="W336" s="7"/>
      <c r="X336" s="12"/>
      <c r="Y336" s="7"/>
      <c r="Z336" s="7"/>
      <c r="AA336" s="7"/>
      <c r="AB336" s="8">
        <f>1/(6*10^-6)</f>
        <v>166666.66666666666</v>
      </c>
      <c r="AC336" s="8"/>
      <c r="AD336" s="4"/>
      <c r="AE336" s="4"/>
      <c r="AF336" s="4"/>
      <c r="AG336" s="4"/>
      <c r="AH336" s="9"/>
      <c r="AI336" s="9"/>
      <c r="AJ336" s="9"/>
      <c r="AK336" s="9" t="s">
        <v>30</v>
      </c>
      <c r="AL336" s="10"/>
      <c r="AM336" s="10"/>
      <c r="AN336" s="10"/>
      <c r="AO336" s="10"/>
      <c r="AP336" s="10"/>
      <c r="AQ336" s="11">
        <v>13</v>
      </c>
      <c r="AR336" s="4"/>
      <c r="AS336" s="10"/>
      <c r="AT336" s="10"/>
      <c r="AU336" s="10"/>
      <c r="AV336" s="10"/>
      <c r="AW336" s="10"/>
      <c r="AX336" s="10"/>
      <c r="AY336" s="10"/>
      <c r="AZ336" s="10"/>
      <c r="BA336" s="10"/>
      <c r="BB336" s="10"/>
      <c r="BC336" s="10"/>
      <c r="BD336" s="10"/>
    </row>
    <row r="337" spans="1:56" ht="30" x14ac:dyDescent="0.25">
      <c r="A337" s="4" t="s">
        <v>618</v>
      </c>
      <c r="B337" s="4"/>
      <c r="C337" s="4" t="s">
        <v>139</v>
      </c>
      <c r="D337" s="4" t="s">
        <v>23</v>
      </c>
      <c r="E337" s="5" t="s">
        <v>34</v>
      </c>
      <c r="F337" s="4" t="s">
        <v>678</v>
      </c>
      <c r="G337" s="4" t="s">
        <v>26</v>
      </c>
      <c r="H337" s="4" t="s">
        <v>635</v>
      </c>
      <c r="I337" s="12"/>
      <c r="J337" s="12"/>
      <c r="K337" s="12"/>
      <c r="L337" s="12"/>
      <c r="M337" s="64"/>
      <c r="N337" s="12"/>
      <c r="O337" s="12"/>
      <c r="P337" s="12"/>
      <c r="Q337" s="12"/>
      <c r="R337" s="12"/>
      <c r="S337" s="12"/>
      <c r="T337" s="12"/>
      <c r="U337" s="12"/>
      <c r="V337" s="12"/>
      <c r="W337" s="7"/>
      <c r="X337" s="12"/>
      <c r="Y337" s="7"/>
      <c r="Z337" s="7"/>
      <c r="AA337" s="7"/>
      <c r="AB337" s="8">
        <f>1/(10^-5)</f>
        <v>99999.999999999985</v>
      </c>
      <c r="AC337" s="7"/>
      <c r="AD337" s="4"/>
      <c r="AE337" s="4"/>
      <c r="AF337" s="4"/>
      <c r="AG337" s="4"/>
      <c r="AH337" s="9"/>
      <c r="AI337" s="9"/>
      <c r="AJ337" s="9"/>
      <c r="AK337" s="9" t="s">
        <v>30</v>
      </c>
      <c r="AL337" s="10"/>
      <c r="AM337" s="10"/>
      <c r="AN337" s="10"/>
      <c r="AO337" s="10"/>
      <c r="AP337" s="10"/>
      <c r="AQ337" s="11">
        <v>13</v>
      </c>
      <c r="AR337" s="4"/>
      <c r="AS337" s="10"/>
      <c r="AT337" s="10"/>
      <c r="AU337" s="10"/>
      <c r="AV337" s="10"/>
      <c r="AW337" s="10"/>
      <c r="AX337" s="10"/>
      <c r="AY337" s="10"/>
      <c r="AZ337" s="10"/>
      <c r="BA337" s="10"/>
      <c r="BB337" s="10"/>
      <c r="BC337" s="10"/>
      <c r="BD337" s="10"/>
    </row>
    <row r="338" spans="1:56" ht="30" x14ac:dyDescent="0.25">
      <c r="A338" s="4" t="s">
        <v>681</v>
      </c>
      <c r="B338" s="4"/>
      <c r="C338" s="4" t="s">
        <v>528</v>
      </c>
      <c r="D338" s="4" t="s">
        <v>23</v>
      </c>
      <c r="E338" s="5" t="s">
        <v>34</v>
      </c>
      <c r="F338" s="4"/>
      <c r="G338" s="4" t="s">
        <v>26</v>
      </c>
      <c r="H338" s="4" t="s">
        <v>682</v>
      </c>
      <c r="I338" s="12">
        <v>106</v>
      </c>
      <c r="J338" s="12">
        <v>106</v>
      </c>
      <c r="K338" s="12"/>
      <c r="L338" s="12">
        <v>0.1</v>
      </c>
      <c r="M338" s="64"/>
      <c r="N338" s="12"/>
      <c r="O338" s="12"/>
      <c r="P338" s="12"/>
      <c r="Q338" s="12"/>
      <c r="R338" s="12"/>
      <c r="S338" s="12"/>
      <c r="T338" s="12"/>
      <c r="U338" s="12"/>
      <c r="V338" s="12"/>
      <c r="W338" s="7"/>
      <c r="X338" s="12"/>
      <c r="Y338" s="7"/>
      <c r="Z338" s="7"/>
      <c r="AA338" s="7"/>
      <c r="AB338" s="8"/>
      <c r="AC338" s="7"/>
      <c r="AD338" s="4"/>
      <c r="AE338" s="4"/>
      <c r="AF338" s="4"/>
      <c r="AG338" s="4"/>
      <c r="AH338" s="9"/>
      <c r="AI338" s="9"/>
      <c r="AJ338" s="9"/>
      <c r="AK338" s="9" t="s">
        <v>30</v>
      </c>
      <c r="AL338" s="10"/>
      <c r="AM338" s="10"/>
      <c r="AN338" s="10"/>
      <c r="AO338" s="10"/>
      <c r="AP338" s="10"/>
      <c r="AQ338" s="11">
        <v>9</v>
      </c>
      <c r="AR338" s="4"/>
      <c r="AS338" s="10"/>
      <c r="AT338" s="10"/>
      <c r="AU338" s="10"/>
      <c r="AV338" s="10"/>
      <c r="AW338" s="10"/>
      <c r="AX338" s="10"/>
      <c r="AY338" s="10"/>
      <c r="AZ338" s="10"/>
      <c r="BA338" s="10"/>
      <c r="BB338" s="10"/>
      <c r="BC338" s="10"/>
      <c r="BD338" s="10"/>
    </row>
    <row r="339" spans="1:56" ht="30" x14ac:dyDescent="0.25">
      <c r="A339" s="4" t="s">
        <v>683</v>
      </c>
      <c r="B339" s="4"/>
      <c r="C339" s="4" t="s">
        <v>528</v>
      </c>
      <c r="D339" s="4" t="s">
        <v>23</v>
      </c>
      <c r="E339" s="5" t="s">
        <v>34</v>
      </c>
      <c r="F339" s="4"/>
      <c r="G339" s="4" t="s">
        <v>26</v>
      </c>
      <c r="H339" s="4" t="s">
        <v>684</v>
      </c>
      <c r="I339" s="12">
        <v>34</v>
      </c>
      <c r="J339" s="12">
        <v>34</v>
      </c>
      <c r="K339" s="12"/>
      <c r="L339" s="12">
        <v>0.04</v>
      </c>
      <c r="M339" s="64"/>
      <c r="N339" s="12"/>
      <c r="O339" s="12"/>
      <c r="P339" s="12"/>
      <c r="Q339" s="12"/>
      <c r="R339" s="12"/>
      <c r="S339" s="12"/>
      <c r="T339" s="12"/>
      <c r="U339" s="12"/>
      <c r="V339" s="12"/>
      <c r="W339" s="7"/>
      <c r="X339" s="12"/>
      <c r="Y339" s="7"/>
      <c r="Z339" s="7"/>
      <c r="AA339" s="7"/>
      <c r="AB339" s="8"/>
      <c r="AC339" s="7"/>
      <c r="AD339" s="4"/>
      <c r="AE339" s="4"/>
      <c r="AF339" s="4"/>
      <c r="AG339" s="4"/>
      <c r="AH339" s="9"/>
      <c r="AI339" s="9"/>
      <c r="AJ339" s="9"/>
      <c r="AK339" s="9" t="s">
        <v>30</v>
      </c>
      <c r="AL339" s="10"/>
      <c r="AM339" s="10"/>
      <c r="AN339" s="10"/>
      <c r="AO339" s="10"/>
      <c r="AP339" s="10"/>
      <c r="AQ339" s="11">
        <v>9</v>
      </c>
      <c r="AR339" s="4"/>
      <c r="AS339" s="10"/>
      <c r="AT339" s="10"/>
      <c r="AU339" s="10"/>
      <c r="AV339" s="10"/>
      <c r="AW339" s="10"/>
      <c r="AX339" s="10"/>
      <c r="AY339" s="10"/>
      <c r="AZ339" s="10"/>
      <c r="BA339" s="10"/>
      <c r="BB339" s="10"/>
      <c r="BC339" s="10"/>
      <c r="BD339" s="10"/>
    </row>
    <row r="340" spans="1:56" ht="60" x14ac:dyDescent="0.25">
      <c r="A340" s="4" t="s">
        <v>1060</v>
      </c>
      <c r="B340" s="4"/>
      <c r="C340" s="4" t="s">
        <v>528</v>
      </c>
      <c r="D340" s="4" t="s">
        <v>23</v>
      </c>
      <c r="E340" s="5" t="s">
        <v>34</v>
      </c>
      <c r="F340" s="4"/>
      <c r="G340" s="4" t="s">
        <v>26</v>
      </c>
      <c r="H340" s="62" t="s">
        <v>1061</v>
      </c>
      <c r="I340" s="12" t="s">
        <v>841</v>
      </c>
      <c r="J340" s="12">
        <v>163.19999999999999</v>
      </c>
      <c r="K340" s="12"/>
      <c r="L340" s="12" t="s">
        <v>842</v>
      </c>
      <c r="M340" s="64">
        <v>0.59</v>
      </c>
      <c r="N340" s="12"/>
      <c r="O340" s="12"/>
      <c r="P340" s="12"/>
      <c r="Q340" s="12"/>
      <c r="R340" s="12"/>
      <c r="S340" s="12"/>
      <c r="T340" s="12"/>
      <c r="U340" s="12"/>
      <c r="V340" s="12"/>
      <c r="W340" s="7"/>
      <c r="X340" s="12"/>
      <c r="Y340" s="7"/>
      <c r="Z340" s="7"/>
      <c r="AA340" s="7"/>
      <c r="AB340" s="8"/>
      <c r="AC340" s="7"/>
      <c r="AD340" s="4"/>
      <c r="AE340" s="4"/>
      <c r="AF340" s="4"/>
      <c r="AG340" s="4"/>
      <c r="AH340" s="9"/>
      <c r="AI340" s="9"/>
      <c r="AJ340" s="9"/>
      <c r="AK340" s="9" t="s">
        <v>30</v>
      </c>
      <c r="AL340" s="10"/>
      <c r="AM340" s="10"/>
      <c r="AN340" s="10"/>
      <c r="AO340" s="10"/>
      <c r="AP340" s="10"/>
      <c r="AQ340" s="11"/>
      <c r="AR340" s="4"/>
      <c r="AS340" s="10"/>
      <c r="AT340" s="10"/>
      <c r="AU340" s="10"/>
      <c r="AV340" s="10"/>
      <c r="AW340" s="10"/>
      <c r="AX340" s="10"/>
      <c r="AY340" s="10"/>
      <c r="AZ340" s="10"/>
      <c r="BA340" s="10"/>
      <c r="BB340" s="10"/>
      <c r="BC340" s="10"/>
      <c r="BD340" s="10"/>
    </row>
    <row r="341" spans="1:56" ht="30" x14ac:dyDescent="0.25">
      <c r="A341" s="4" t="s">
        <v>685</v>
      </c>
      <c r="B341" s="4"/>
      <c r="C341" s="4"/>
      <c r="D341" s="4" t="s">
        <v>23</v>
      </c>
      <c r="E341" s="5" t="s">
        <v>34</v>
      </c>
      <c r="F341" s="4"/>
      <c r="G341" s="4" t="s">
        <v>26</v>
      </c>
      <c r="H341" s="62" t="s">
        <v>1062</v>
      </c>
      <c r="I341" s="12"/>
      <c r="J341" s="12"/>
      <c r="K341" s="12"/>
      <c r="L341" s="12"/>
      <c r="M341" s="64"/>
      <c r="N341" s="12"/>
      <c r="O341" s="12"/>
      <c r="P341" s="12"/>
      <c r="Q341" s="12"/>
      <c r="R341" s="12">
        <v>0</v>
      </c>
      <c r="S341" s="12"/>
      <c r="T341" s="12"/>
      <c r="U341" s="12"/>
      <c r="V341" s="12"/>
      <c r="W341" s="7"/>
      <c r="X341" s="12"/>
      <c r="Y341" s="7"/>
      <c r="Z341" s="7"/>
      <c r="AA341" s="7"/>
      <c r="AB341" s="8"/>
      <c r="AC341" s="7"/>
      <c r="AD341" s="4"/>
      <c r="AE341" s="4"/>
      <c r="AF341" s="4"/>
      <c r="AG341" s="4"/>
      <c r="AH341" s="9"/>
      <c r="AI341" s="9"/>
      <c r="AJ341" s="9"/>
      <c r="AK341" s="9" t="s">
        <v>30</v>
      </c>
      <c r="AL341" s="10"/>
      <c r="AM341" s="10"/>
      <c r="AN341" s="10"/>
      <c r="AO341" s="10"/>
      <c r="AP341" s="10"/>
      <c r="AQ341" s="11">
        <v>33</v>
      </c>
      <c r="AR341" s="4" t="s">
        <v>32</v>
      </c>
      <c r="AS341" s="10"/>
      <c r="AT341" s="10"/>
      <c r="AU341" s="10"/>
      <c r="AV341" s="10"/>
      <c r="AW341" s="10"/>
      <c r="AX341" s="10"/>
      <c r="AY341" s="10"/>
      <c r="AZ341" s="10"/>
      <c r="BA341" s="10"/>
      <c r="BB341" s="10"/>
      <c r="BC341" s="10">
        <v>922</v>
      </c>
      <c r="BD341" s="10">
        <v>8274</v>
      </c>
    </row>
    <row r="342" spans="1:56" ht="30" x14ac:dyDescent="0.25">
      <c r="A342" s="4" t="s">
        <v>686</v>
      </c>
      <c r="B342" s="4"/>
      <c r="C342" s="4"/>
      <c r="D342" s="4" t="s">
        <v>23</v>
      </c>
      <c r="E342" s="5" t="s">
        <v>34</v>
      </c>
      <c r="F342" s="4"/>
      <c r="G342" s="4" t="s">
        <v>26</v>
      </c>
      <c r="H342" s="4" t="s">
        <v>1063</v>
      </c>
      <c r="I342" s="12"/>
      <c r="J342" s="12"/>
      <c r="K342" s="12"/>
      <c r="L342" s="12"/>
      <c r="M342" s="64"/>
      <c r="N342" s="12"/>
      <c r="O342" s="12"/>
      <c r="P342" s="12"/>
      <c r="Q342" s="12"/>
      <c r="R342" s="12">
        <v>0</v>
      </c>
      <c r="S342" s="12"/>
      <c r="T342" s="12"/>
      <c r="U342" s="12"/>
      <c r="V342" s="12"/>
      <c r="W342" s="7"/>
      <c r="X342" s="12"/>
      <c r="Y342" s="7"/>
      <c r="Z342" s="7"/>
      <c r="AA342" s="7"/>
      <c r="AB342" s="8"/>
      <c r="AC342" s="7"/>
      <c r="AD342" s="4"/>
      <c r="AE342" s="4"/>
      <c r="AF342" s="4"/>
      <c r="AG342" s="4"/>
      <c r="AH342" s="9"/>
      <c r="AI342" s="9"/>
      <c r="AJ342" s="9"/>
      <c r="AK342" s="9" t="s">
        <v>30</v>
      </c>
      <c r="AL342" s="10"/>
      <c r="AM342" s="10"/>
      <c r="AN342" s="10"/>
      <c r="AO342" s="10"/>
      <c r="AP342" s="10"/>
      <c r="AQ342" s="11">
        <v>33</v>
      </c>
      <c r="AR342" s="4" t="s">
        <v>32</v>
      </c>
      <c r="AS342" s="10"/>
      <c r="AT342" s="10"/>
      <c r="AU342" s="10"/>
      <c r="AV342" s="10"/>
      <c r="AW342" s="10"/>
      <c r="AX342" s="10"/>
      <c r="AY342" s="10"/>
      <c r="AZ342" s="10"/>
      <c r="BA342" s="10"/>
      <c r="BB342" s="10"/>
      <c r="BC342" s="10" t="s">
        <v>687</v>
      </c>
      <c r="BD342" s="10">
        <v>1724</v>
      </c>
    </row>
    <row r="343" spans="1:56" ht="120" x14ac:dyDescent="0.25">
      <c r="A343" s="4" t="s">
        <v>688</v>
      </c>
      <c r="B343" s="4" t="s">
        <v>1492</v>
      </c>
      <c r="C343" s="4" t="s">
        <v>22</v>
      </c>
      <c r="D343" s="4" t="s">
        <v>33</v>
      </c>
      <c r="E343" s="5" t="s">
        <v>34</v>
      </c>
      <c r="F343" s="4"/>
      <c r="G343" s="4" t="s">
        <v>35</v>
      </c>
      <c r="H343" s="62" t="s">
        <v>689</v>
      </c>
      <c r="I343" s="12" t="s">
        <v>1064</v>
      </c>
      <c r="J343" s="12">
        <v>80</v>
      </c>
      <c r="K343" s="12"/>
      <c r="L343" s="12" t="s">
        <v>1065</v>
      </c>
      <c r="M343" s="64">
        <v>0.15</v>
      </c>
      <c r="N343" s="12"/>
      <c r="O343" s="12"/>
      <c r="P343" s="12"/>
      <c r="Q343" s="12"/>
      <c r="R343" s="12" t="s">
        <v>690</v>
      </c>
      <c r="S343" s="12">
        <v>122</v>
      </c>
      <c r="T343" s="12"/>
      <c r="U343" s="12">
        <v>64</v>
      </c>
      <c r="V343" s="12">
        <v>64</v>
      </c>
      <c r="W343" s="7"/>
      <c r="X343" s="12"/>
      <c r="Y343" s="7" t="s">
        <v>691</v>
      </c>
      <c r="Z343" s="7">
        <v>3</v>
      </c>
      <c r="AA343" s="7">
        <v>0.5</v>
      </c>
      <c r="AB343" s="8"/>
      <c r="AC343" s="7"/>
      <c r="AD343" s="4"/>
      <c r="AE343" s="4"/>
      <c r="AF343" s="4"/>
      <c r="AG343" s="4"/>
      <c r="AH343" s="9"/>
      <c r="AI343" s="9"/>
      <c r="AJ343" s="9"/>
      <c r="AK343" s="9"/>
      <c r="AL343" s="10"/>
      <c r="AM343" s="10"/>
      <c r="AN343" s="10"/>
      <c r="AO343" s="10"/>
      <c r="AP343" s="10"/>
      <c r="AQ343" s="11">
        <v>34</v>
      </c>
      <c r="AR343" s="4"/>
      <c r="AS343" s="510"/>
      <c r="AT343" s="10" t="s">
        <v>1081</v>
      </c>
      <c r="AU343" s="10"/>
      <c r="AV343" s="10"/>
      <c r="AW343" s="10"/>
      <c r="AX343" s="10"/>
      <c r="AY343" s="10"/>
      <c r="AZ343" s="10"/>
      <c r="BA343" s="10"/>
      <c r="BB343" s="10"/>
      <c r="BC343" s="10"/>
      <c r="BD343" s="10"/>
    </row>
    <row r="344" spans="1:56" ht="45" x14ac:dyDescent="0.25">
      <c r="A344" s="4" t="s">
        <v>692</v>
      </c>
      <c r="B344" s="4" t="s">
        <v>1493</v>
      </c>
      <c r="C344" s="29" t="s">
        <v>22</v>
      </c>
      <c r="D344" s="30" t="s">
        <v>33</v>
      </c>
      <c r="E344" s="31" t="s">
        <v>34</v>
      </c>
      <c r="F344" s="30"/>
      <c r="G344" s="30" t="s">
        <v>35</v>
      </c>
      <c r="H344" s="62" t="s">
        <v>1066</v>
      </c>
      <c r="I344" s="12" t="s">
        <v>759</v>
      </c>
      <c r="J344" s="12">
        <f>114.3/4*0.75</f>
        <v>21.431249999999999</v>
      </c>
      <c r="K344" s="12">
        <v>0.75</v>
      </c>
      <c r="L344" s="12" t="s">
        <v>760</v>
      </c>
      <c r="M344" s="64">
        <f>0.197/4*0.75</f>
        <v>3.6937499999999998E-2</v>
      </c>
      <c r="N344" s="12">
        <v>0.75</v>
      </c>
      <c r="O344" s="12" t="s">
        <v>693</v>
      </c>
      <c r="P344" s="12">
        <f>566/4</f>
        <v>141.5</v>
      </c>
      <c r="Q344" s="12">
        <v>0.75</v>
      </c>
      <c r="R344" s="12" t="s">
        <v>694</v>
      </c>
      <c r="S344" s="12">
        <f>763/4</f>
        <v>190.75</v>
      </c>
      <c r="T344" s="12">
        <v>0.75</v>
      </c>
      <c r="U344" s="12">
        <v>17.145</v>
      </c>
      <c r="V344" s="12">
        <v>17.145</v>
      </c>
      <c r="W344" s="7"/>
      <c r="X344" s="12"/>
      <c r="Y344" s="7">
        <v>4</v>
      </c>
      <c r="Z344" s="7">
        <v>4</v>
      </c>
      <c r="AA344" s="7">
        <v>0.75</v>
      </c>
      <c r="AB344" s="8"/>
      <c r="AC344" s="7"/>
      <c r="AD344" s="4"/>
      <c r="AE344" s="4"/>
      <c r="AF344" s="4"/>
      <c r="AG344" s="4"/>
      <c r="AH344" s="9"/>
      <c r="AI344" s="9"/>
      <c r="AJ344" s="9"/>
      <c r="AK344" s="9" t="s">
        <v>697</v>
      </c>
      <c r="AL344" s="10"/>
      <c r="AM344" s="10"/>
      <c r="AN344" s="10"/>
      <c r="AO344" s="10"/>
      <c r="AP344" s="10"/>
      <c r="AQ344" s="11" t="s">
        <v>698</v>
      </c>
      <c r="AR344" s="4"/>
      <c r="AS344" s="22"/>
      <c r="AT344" s="10" t="s">
        <v>1081</v>
      </c>
      <c r="AU344" s="10"/>
      <c r="AV344" s="10"/>
      <c r="AW344" s="10"/>
      <c r="AX344" s="10"/>
      <c r="AY344" s="10"/>
      <c r="AZ344" s="10"/>
      <c r="BA344" s="10"/>
      <c r="BB344" s="10"/>
      <c r="BC344" s="10" t="s">
        <v>695</v>
      </c>
      <c r="BD344" s="10" t="s">
        <v>696</v>
      </c>
    </row>
    <row r="345" spans="1:56" ht="45" x14ac:dyDescent="0.25">
      <c r="A345" s="4" t="s">
        <v>699</v>
      </c>
      <c r="B345" s="4" t="s">
        <v>1494</v>
      </c>
      <c r="C345" s="23" t="s">
        <v>139</v>
      </c>
      <c r="D345" s="23" t="s">
        <v>23</v>
      </c>
      <c r="E345" s="24" t="s">
        <v>34</v>
      </c>
      <c r="F345" s="23"/>
      <c r="G345" s="23" t="s">
        <v>35</v>
      </c>
      <c r="H345" s="4" t="s">
        <v>1067</v>
      </c>
      <c r="I345" s="12">
        <v>50</v>
      </c>
      <c r="J345" s="12">
        <v>50</v>
      </c>
      <c r="K345" s="12"/>
      <c r="L345" s="12">
        <v>0.2</v>
      </c>
      <c r="M345" s="64">
        <v>0.2</v>
      </c>
      <c r="N345" s="12"/>
      <c r="O345" s="12"/>
      <c r="P345" s="12"/>
      <c r="Q345" s="12"/>
      <c r="R345" s="12">
        <v>800</v>
      </c>
      <c r="S345" s="12">
        <v>800</v>
      </c>
      <c r="T345" s="12"/>
      <c r="U345" s="12">
        <v>31</v>
      </c>
      <c r="V345" s="12">
        <v>31</v>
      </c>
      <c r="W345" s="7"/>
      <c r="X345" s="12"/>
      <c r="Y345" s="7">
        <v>4</v>
      </c>
      <c r="Z345" s="7">
        <v>4</v>
      </c>
      <c r="AA345" s="7">
        <v>0.75</v>
      </c>
      <c r="AB345" s="8"/>
      <c r="AC345" s="7"/>
      <c r="AD345" s="4"/>
      <c r="AE345" s="4"/>
      <c r="AF345" s="4"/>
      <c r="AG345" s="4"/>
      <c r="AH345" s="9"/>
      <c r="AI345" s="9"/>
      <c r="AJ345" s="9"/>
      <c r="AK345" s="9" t="s">
        <v>700</v>
      </c>
      <c r="AL345" s="10"/>
      <c r="AM345" s="10"/>
      <c r="AN345" s="10"/>
      <c r="AO345" s="10"/>
      <c r="AP345" s="10"/>
      <c r="AQ345" s="11">
        <v>34</v>
      </c>
      <c r="AR345" s="4"/>
      <c r="AS345" s="67" t="s">
        <v>879</v>
      </c>
      <c r="AT345" s="10"/>
      <c r="AU345" s="10"/>
      <c r="AV345" s="10"/>
      <c r="AW345" s="10"/>
      <c r="AX345" s="10"/>
      <c r="AY345" s="10"/>
      <c r="AZ345" s="10"/>
      <c r="BA345" s="10"/>
      <c r="BB345" s="10"/>
      <c r="BC345" s="10"/>
      <c r="BD345" s="10"/>
    </row>
    <row r="346" spans="1:56" ht="30" x14ac:dyDescent="0.25">
      <c r="A346" s="4" t="s">
        <v>701</v>
      </c>
      <c r="B346" s="4" t="s">
        <v>1495</v>
      </c>
      <c r="C346" s="4" t="s">
        <v>46</v>
      </c>
      <c r="D346" s="4" t="s">
        <v>47</v>
      </c>
      <c r="E346" s="5" t="s">
        <v>34</v>
      </c>
      <c r="F346" s="4"/>
      <c r="G346" s="4" t="s">
        <v>35</v>
      </c>
      <c r="H346" s="4" t="s">
        <v>1068</v>
      </c>
      <c r="I346" s="12"/>
      <c r="J346" s="12"/>
      <c r="K346" s="12"/>
      <c r="L346" s="12"/>
      <c r="M346" s="64"/>
      <c r="N346" s="12"/>
      <c r="O346" s="12"/>
      <c r="P346" s="12"/>
      <c r="Q346" s="12"/>
      <c r="R346" s="12"/>
      <c r="S346" s="12"/>
      <c r="T346" s="12"/>
      <c r="U346" s="12"/>
      <c r="V346" s="12"/>
      <c r="W346" s="7"/>
      <c r="X346" s="12"/>
      <c r="Y346" s="7">
        <v>4</v>
      </c>
      <c r="Z346" s="7">
        <v>4</v>
      </c>
      <c r="AA346" s="7">
        <v>0.75</v>
      </c>
      <c r="AB346" s="8"/>
      <c r="AC346" s="7"/>
      <c r="AD346" s="4"/>
      <c r="AE346" s="4"/>
      <c r="AF346" s="4"/>
      <c r="AG346" s="4"/>
      <c r="AH346" s="9"/>
      <c r="AI346" s="9"/>
      <c r="AJ346" s="9"/>
      <c r="AK346" s="9"/>
      <c r="AL346" s="10"/>
      <c r="AM346" s="10"/>
      <c r="AN346" s="10"/>
      <c r="AO346" s="10"/>
      <c r="AP346" s="10"/>
      <c r="AQ346" s="11">
        <v>55</v>
      </c>
      <c r="AR346" s="25"/>
      <c r="AS346" s="10"/>
      <c r="AT346" s="10" t="s">
        <v>860</v>
      </c>
      <c r="AU346" s="10"/>
      <c r="AV346" s="10"/>
      <c r="AW346" s="10"/>
      <c r="AX346" s="10"/>
      <c r="AY346" s="10"/>
      <c r="AZ346" s="10"/>
      <c r="BA346" s="10"/>
      <c r="BB346" s="10"/>
      <c r="BC346" s="10"/>
      <c r="BD346" s="10"/>
    </row>
    <row r="347" spans="1:56" ht="45" x14ac:dyDescent="0.25">
      <c r="A347" s="4" t="s">
        <v>702</v>
      </c>
      <c r="B347" s="4" t="s">
        <v>1496</v>
      </c>
      <c r="C347" s="4" t="s">
        <v>46</v>
      </c>
      <c r="D347" s="4" t="s">
        <v>165</v>
      </c>
      <c r="E347" s="5" t="s">
        <v>34</v>
      </c>
      <c r="F347" s="4"/>
      <c r="G347" s="4" t="s">
        <v>35</v>
      </c>
      <c r="H347" s="4" t="s">
        <v>1069</v>
      </c>
      <c r="I347" s="12"/>
      <c r="J347" s="12"/>
      <c r="K347" s="12"/>
      <c r="L347" s="12"/>
      <c r="M347" s="64"/>
      <c r="N347" s="12"/>
      <c r="O347" s="12"/>
      <c r="P347" s="12"/>
      <c r="Q347" s="12"/>
      <c r="R347" s="12"/>
      <c r="S347" s="12"/>
      <c r="T347" s="12"/>
      <c r="U347" s="12"/>
      <c r="V347" s="12"/>
      <c r="W347" s="7"/>
      <c r="X347" s="12"/>
      <c r="Y347" s="7"/>
      <c r="Z347" s="7">
        <v>3</v>
      </c>
      <c r="AA347" s="7">
        <v>0.5</v>
      </c>
      <c r="AB347" s="8"/>
      <c r="AC347" s="7"/>
      <c r="AD347" s="4"/>
      <c r="AE347" s="4"/>
      <c r="AF347" s="4"/>
      <c r="AG347" s="4"/>
      <c r="AH347" s="9"/>
      <c r="AI347" s="9"/>
      <c r="AJ347" s="9"/>
      <c r="AK347" s="9"/>
      <c r="AL347" s="10"/>
      <c r="AM347" s="10"/>
      <c r="AN347" s="10"/>
      <c r="AO347" s="10"/>
      <c r="AP347" s="10"/>
      <c r="AQ347" s="11"/>
      <c r="AR347" s="25"/>
      <c r="AS347" s="10"/>
      <c r="AT347" s="10" t="s">
        <v>879</v>
      </c>
      <c r="AU347" s="10"/>
      <c r="AV347" s="10"/>
      <c r="AW347" s="10"/>
      <c r="AX347" s="10"/>
      <c r="AY347" s="10"/>
      <c r="AZ347" s="10"/>
      <c r="BA347" s="10"/>
      <c r="BB347" s="10"/>
      <c r="BC347" s="10"/>
      <c r="BD347" s="10"/>
    </row>
    <row r="348" spans="1:56" ht="120" x14ac:dyDescent="0.25">
      <c r="A348" s="4" t="s">
        <v>703</v>
      </c>
      <c r="B348" s="4" t="s">
        <v>1497</v>
      </c>
      <c r="C348" s="4" t="s">
        <v>46</v>
      </c>
      <c r="D348" s="4" t="s">
        <v>165</v>
      </c>
      <c r="E348" s="5" t="s">
        <v>24</v>
      </c>
      <c r="F348" s="4"/>
      <c r="G348" s="4" t="s">
        <v>35</v>
      </c>
      <c r="H348" s="62" t="s">
        <v>1070</v>
      </c>
      <c r="I348" s="12"/>
      <c r="J348" s="12"/>
      <c r="K348" s="12"/>
      <c r="L348" s="12"/>
      <c r="M348" s="64"/>
      <c r="N348" s="12"/>
      <c r="O348" s="12"/>
      <c r="P348" s="12"/>
      <c r="Q348" s="12"/>
      <c r="R348" s="12"/>
      <c r="S348" s="12"/>
      <c r="T348" s="12"/>
      <c r="U348" s="12"/>
      <c r="V348" s="12"/>
      <c r="W348" s="7"/>
      <c r="X348" s="12"/>
      <c r="Y348" s="26" t="s">
        <v>704</v>
      </c>
      <c r="Z348" s="7"/>
      <c r="AA348" s="7"/>
      <c r="AB348" s="8"/>
      <c r="AC348" s="7"/>
      <c r="AD348" s="4"/>
      <c r="AE348" s="4"/>
      <c r="AF348" s="4"/>
      <c r="AG348" s="4"/>
      <c r="AH348" s="9"/>
      <c r="AI348" s="9"/>
      <c r="AJ348" s="9"/>
      <c r="AK348" s="9"/>
      <c r="AL348" s="10"/>
      <c r="AM348" s="10"/>
      <c r="AN348" s="10"/>
      <c r="AO348" s="10"/>
      <c r="AP348" s="10"/>
      <c r="AQ348" s="11"/>
      <c r="AR348" s="25"/>
      <c r="AS348" s="10"/>
      <c r="AT348" s="10" t="s">
        <v>879</v>
      </c>
      <c r="AU348" s="10"/>
      <c r="AV348" s="10"/>
      <c r="AW348" s="10"/>
      <c r="AX348" s="10"/>
      <c r="AY348" s="10"/>
      <c r="AZ348" s="10"/>
      <c r="BA348" s="10"/>
      <c r="BB348" s="10"/>
      <c r="BC348" s="10"/>
      <c r="BD348" s="10"/>
    </row>
    <row r="349" spans="1:56" ht="30" x14ac:dyDescent="0.25">
      <c r="A349" s="4" t="s">
        <v>705</v>
      </c>
      <c r="B349" s="4" t="s">
        <v>1498</v>
      </c>
      <c r="C349" s="4" t="s">
        <v>139</v>
      </c>
      <c r="D349" s="4" t="s">
        <v>23</v>
      </c>
      <c r="E349" s="5" t="s">
        <v>34</v>
      </c>
      <c r="F349" s="4"/>
      <c r="G349" s="4" t="s">
        <v>35</v>
      </c>
      <c r="H349" s="4"/>
      <c r="I349" s="12"/>
      <c r="J349" s="12"/>
      <c r="K349" s="12"/>
      <c r="L349" s="12"/>
      <c r="M349" s="64"/>
      <c r="N349" s="12"/>
      <c r="O349" s="12"/>
      <c r="P349" s="12"/>
      <c r="Q349" s="12"/>
      <c r="R349" s="12"/>
      <c r="S349" s="12"/>
      <c r="T349" s="12"/>
      <c r="U349" s="12"/>
      <c r="V349" s="12"/>
      <c r="W349" s="7"/>
      <c r="X349" s="12"/>
      <c r="Y349" s="7" t="s">
        <v>706</v>
      </c>
      <c r="Z349" s="7"/>
      <c r="AA349" s="7"/>
      <c r="AB349" s="8"/>
      <c r="AC349" s="7"/>
      <c r="AD349" s="4"/>
      <c r="AE349" s="4"/>
      <c r="AF349" s="4"/>
      <c r="AG349" s="4"/>
      <c r="AH349" s="9"/>
      <c r="AI349" s="9"/>
      <c r="AJ349" s="9"/>
      <c r="AK349" s="9"/>
      <c r="AL349" s="10"/>
      <c r="AM349" s="10"/>
      <c r="AN349" s="10"/>
      <c r="AO349" s="10"/>
      <c r="AP349" s="10"/>
      <c r="AQ349" s="11"/>
      <c r="AR349" s="25"/>
      <c r="AS349" s="10"/>
      <c r="AT349" s="10"/>
      <c r="AU349" s="10"/>
      <c r="AV349" s="10"/>
      <c r="AW349" s="10"/>
      <c r="AX349" s="10"/>
      <c r="AY349" s="10"/>
      <c r="AZ349" s="10"/>
      <c r="BA349" s="10"/>
      <c r="BB349" s="10"/>
      <c r="BC349" s="10"/>
      <c r="BD349" s="10"/>
    </row>
    <row r="350" spans="1:56" ht="75" x14ac:dyDescent="0.25">
      <c r="A350" s="4" t="s">
        <v>707</v>
      </c>
      <c r="B350" s="4" t="s">
        <v>1499</v>
      </c>
      <c r="C350" s="4" t="s">
        <v>22</v>
      </c>
      <c r="D350" s="4" t="s">
        <v>33</v>
      </c>
      <c r="E350" s="5" t="s">
        <v>34</v>
      </c>
      <c r="F350" s="4" t="s">
        <v>708</v>
      </c>
      <c r="G350" s="4" t="s">
        <v>35</v>
      </c>
      <c r="H350" s="62" t="s">
        <v>1071</v>
      </c>
      <c r="I350" s="12" t="s">
        <v>715</v>
      </c>
      <c r="J350" s="12"/>
      <c r="K350" s="12">
        <v>0.75</v>
      </c>
      <c r="L350" s="12" t="s">
        <v>716</v>
      </c>
      <c r="M350" s="64">
        <v>0.1048</v>
      </c>
      <c r="N350" s="12">
        <v>0.75</v>
      </c>
      <c r="O350" s="12" t="s">
        <v>709</v>
      </c>
      <c r="P350" s="12">
        <v>0</v>
      </c>
      <c r="Q350" s="12">
        <v>0.75</v>
      </c>
      <c r="R350" s="12" t="s">
        <v>710</v>
      </c>
      <c r="S350" s="12">
        <v>0</v>
      </c>
      <c r="T350" s="12">
        <v>0.75</v>
      </c>
      <c r="U350" s="12"/>
      <c r="V350" s="12"/>
      <c r="W350" s="7"/>
      <c r="X350" s="12"/>
      <c r="Y350" s="7"/>
      <c r="Z350" s="7">
        <v>8</v>
      </c>
      <c r="AA350" s="7">
        <v>0.5</v>
      </c>
      <c r="AB350" s="7">
        <v>17000</v>
      </c>
      <c r="AC350" s="7">
        <v>0.5</v>
      </c>
      <c r="AD350" s="4" t="s">
        <v>711</v>
      </c>
      <c r="AE350" s="4">
        <v>0</v>
      </c>
      <c r="AF350" s="4"/>
      <c r="AG350" s="4">
        <v>0.25</v>
      </c>
      <c r="AH350" s="9"/>
      <c r="AI350" s="9"/>
      <c r="AJ350" s="9"/>
      <c r="AK350" s="9"/>
      <c r="AL350" s="10"/>
      <c r="AM350" s="10"/>
      <c r="AN350" s="10"/>
      <c r="AO350" s="10"/>
      <c r="AP350" s="10"/>
      <c r="AQ350" s="11" t="s">
        <v>712</v>
      </c>
      <c r="AR350" s="25"/>
      <c r="AS350" s="10"/>
      <c r="AT350" s="10" t="s">
        <v>1081</v>
      </c>
      <c r="AU350" s="10"/>
      <c r="AV350" s="10"/>
      <c r="AW350" s="10"/>
      <c r="AX350" s="10"/>
      <c r="AY350" s="10"/>
      <c r="AZ350" s="10"/>
      <c r="BA350" s="10"/>
      <c r="BB350" s="10"/>
      <c r="BC350" s="10"/>
      <c r="BD350" s="10"/>
    </row>
    <row r="351" spans="1:56" ht="30" x14ac:dyDescent="0.25">
      <c r="A351" s="4" t="s">
        <v>713</v>
      </c>
      <c r="B351" s="4"/>
      <c r="C351" s="4" t="s">
        <v>70</v>
      </c>
      <c r="D351" s="4" t="s">
        <v>23</v>
      </c>
      <c r="E351" s="5" t="s">
        <v>34</v>
      </c>
      <c r="F351" s="27" t="s">
        <v>568</v>
      </c>
      <c r="G351" s="4" t="s">
        <v>26</v>
      </c>
      <c r="H351" s="4" t="s">
        <v>1072</v>
      </c>
      <c r="I351" s="13"/>
      <c r="J351" s="12">
        <f>technologies[[#This Row],[Mass
Literature]]</f>
        <v>0</v>
      </c>
      <c r="K351" s="12"/>
      <c r="L351" s="12"/>
      <c r="M351" s="64">
        <f>technologies[[#This Row],[Volume
Literature]]</f>
        <v>0</v>
      </c>
      <c r="N351" s="12"/>
      <c r="O351" s="12"/>
      <c r="P351" s="12"/>
      <c r="Q351" s="12"/>
      <c r="R351" s="12"/>
      <c r="S351" s="12"/>
      <c r="T351" s="12"/>
      <c r="U351" s="12"/>
      <c r="V351" s="12"/>
      <c r="W351" s="7"/>
      <c r="X351" s="12"/>
      <c r="Y351" s="7"/>
      <c r="Z351" s="7"/>
      <c r="AA351" s="7"/>
      <c r="AB351" s="7"/>
      <c r="AC351" s="7"/>
      <c r="AD351" s="4"/>
      <c r="AE351" s="4"/>
      <c r="AF351" s="4"/>
      <c r="AG351" s="4"/>
      <c r="AH351" s="9"/>
      <c r="AI351" s="9"/>
      <c r="AJ351" s="9"/>
      <c r="AK351" s="9"/>
      <c r="AL351" s="10"/>
      <c r="AM351" s="10"/>
      <c r="AN351" s="10"/>
      <c r="AO351" s="10"/>
      <c r="AP351" s="10"/>
      <c r="AQ351" s="11"/>
      <c r="AR351" s="28"/>
      <c r="AS351" s="10"/>
      <c r="AT351" s="10" t="s">
        <v>863</v>
      </c>
      <c r="AU351" s="10"/>
      <c r="AV351" s="10"/>
      <c r="AW351" s="10"/>
      <c r="AX351" s="10"/>
      <c r="AY351" s="10"/>
      <c r="AZ351" s="10"/>
      <c r="BA351" s="10"/>
      <c r="BB351" s="10"/>
      <c r="BC351" s="10"/>
      <c r="BD351" s="10"/>
    </row>
    <row r="352" spans="1:56" ht="45" x14ac:dyDescent="0.25">
      <c r="A352" s="4" t="s">
        <v>1180</v>
      </c>
      <c r="B352" s="4"/>
      <c r="C352" s="4" t="s">
        <v>70</v>
      </c>
      <c r="D352" s="4" t="s">
        <v>23</v>
      </c>
      <c r="E352" s="5" t="s">
        <v>24</v>
      </c>
      <c r="F352" s="6"/>
      <c r="G352" s="4" t="s">
        <v>35</v>
      </c>
      <c r="H352" s="4" t="s">
        <v>1181</v>
      </c>
      <c r="I352" s="7">
        <v>1.5</v>
      </c>
      <c r="J352" s="7">
        <v>1.5</v>
      </c>
      <c r="K352" s="7">
        <v>1</v>
      </c>
      <c r="L352" s="7">
        <v>2.8E-3</v>
      </c>
      <c r="M352" s="64">
        <v>2.8E-3</v>
      </c>
      <c r="N352" s="7">
        <v>1</v>
      </c>
      <c r="O352" s="7">
        <v>1.48</v>
      </c>
      <c r="P352" s="7">
        <v>1.48</v>
      </c>
      <c r="Q352" s="7">
        <v>0.5</v>
      </c>
      <c r="R352" s="7">
        <v>1.48</v>
      </c>
      <c r="S352" s="7">
        <v>1.48</v>
      </c>
      <c r="T352" s="7">
        <v>1</v>
      </c>
      <c r="U352" s="12">
        <v>0.92999999999999994</v>
      </c>
      <c r="V352" s="12">
        <v>0.92999999999999994</v>
      </c>
      <c r="W352" s="7"/>
      <c r="X352" s="12"/>
      <c r="Y352" s="7">
        <v>9</v>
      </c>
      <c r="Z352" s="7">
        <v>9</v>
      </c>
      <c r="AA352" s="7">
        <v>1</v>
      </c>
      <c r="AB352" s="7"/>
      <c r="AC352" s="7"/>
      <c r="AD352" s="4"/>
      <c r="AE352" s="4"/>
      <c r="AF352" s="4"/>
      <c r="AG352" s="4"/>
      <c r="AH352" s="9"/>
      <c r="AI352" s="9"/>
      <c r="AJ352" s="9"/>
      <c r="AK352" s="9"/>
      <c r="AL352" s="10"/>
      <c r="AM352" s="10"/>
      <c r="AN352" s="10"/>
      <c r="AO352" s="10"/>
      <c r="AP352" s="10"/>
      <c r="AQ352" s="11"/>
      <c r="AR352" s="4"/>
      <c r="AS352" s="10"/>
      <c r="AT352" s="10"/>
      <c r="AU352" s="10"/>
      <c r="AV352" s="10"/>
      <c r="AW352" s="10"/>
      <c r="AX352" s="10"/>
      <c r="AY352" s="10"/>
      <c r="AZ352" s="10"/>
      <c r="BA352" s="10"/>
      <c r="BB352" s="10"/>
      <c r="BC352" s="10"/>
      <c r="BD352" s="10"/>
    </row>
    <row r="353" spans="1:56" ht="45" x14ac:dyDescent="0.25">
      <c r="A353" s="4" t="s">
        <v>1182</v>
      </c>
      <c r="B353" s="4"/>
      <c r="C353" s="4" t="s">
        <v>70</v>
      </c>
      <c r="D353" s="4" t="s">
        <v>23</v>
      </c>
      <c r="E353" s="5" t="s">
        <v>24</v>
      </c>
      <c r="F353" s="6"/>
      <c r="G353" s="4" t="s">
        <v>26</v>
      </c>
      <c r="H353" s="4" t="s">
        <v>1183</v>
      </c>
      <c r="I353" s="7">
        <v>6.8</v>
      </c>
      <c r="J353" s="7">
        <v>6.8</v>
      </c>
      <c r="K353" s="7">
        <v>1</v>
      </c>
      <c r="L353" s="7">
        <v>4.0500000000000001E-2</v>
      </c>
      <c r="M353" s="64">
        <v>4.0500000000000001E-2</v>
      </c>
      <c r="N353" s="7">
        <v>1</v>
      </c>
      <c r="O353" s="7">
        <v>0</v>
      </c>
      <c r="P353" s="7">
        <v>0</v>
      </c>
      <c r="Q353" s="7">
        <v>1</v>
      </c>
      <c r="R353" s="7">
        <v>0</v>
      </c>
      <c r="S353" s="7">
        <v>0</v>
      </c>
      <c r="T353" s="7">
        <v>1</v>
      </c>
      <c r="U353" s="12"/>
      <c r="V353" s="12"/>
      <c r="W353" s="7"/>
      <c r="X353" s="12"/>
      <c r="Y353" s="7">
        <v>9</v>
      </c>
      <c r="Z353" s="7">
        <v>9</v>
      </c>
      <c r="AA353" s="7">
        <v>1</v>
      </c>
      <c r="AB353" s="7"/>
      <c r="AC353" s="7"/>
      <c r="AD353" s="4"/>
      <c r="AE353" s="4"/>
      <c r="AF353" s="4"/>
      <c r="AG353" s="4"/>
      <c r="AH353" s="9"/>
      <c r="AI353" s="9"/>
      <c r="AJ353" s="9"/>
      <c r="AK353" s="9"/>
      <c r="AL353" s="10"/>
      <c r="AM353" s="10"/>
      <c r="AN353" s="10"/>
      <c r="AO353" s="10"/>
      <c r="AP353" s="10"/>
      <c r="AQ353" s="11"/>
      <c r="AR353" s="4"/>
      <c r="AS353" s="10"/>
      <c r="AT353" s="10"/>
      <c r="AU353" s="10"/>
      <c r="AV353" s="10"/>
      <c r="AW353" s="10"/>
      <c r="AX353" s="10"/>
      <c r="AY353" s="10"/>
      <c r="AZ353" s="10"/>
      <c r="BA353" s="10"/>
      <c r="BB353" s="10"/>
      <c r="BC353" s="10"/>
      <c r="BD353" s="10"/>
    </row>
    <row r="354" spans="1:56" ht="45" x14ac:dyDescent="0.25">
      <c r="A354" s="4" t="s">
        <v>1518</v>
      </c>
      <c r="B354" s="4" t="s">
        <v>1517</v>
      </c>
      <c r="C354" s="4" t="s">
        <v>22</v>
      </c>
      <c r="D354" s="4" t="s">
        <v>1517</v>
      </c>
      <c r="E354" s="5" t="s">
        <v>34</v>
      </c>
      <c r="F354" s="6"/>
      <c r="G354" s="4" t="s">
        <v>35</v>
      </c>
      <c r="H354" s="4" t="s">
        <v>1265</v>
      </c>
      <c r="I354" s="7">
        <v>1700</v>
      </c>
      <c r="J354" s="7">
        <v>977.49999999999989</v>
      </c>
      <c r="K354" s="7">
        <v>0.5</v>
      </c>
      <c r="L354" s="7">
        <v>1.66</v>
      </c>
      <c r="M354" s="64">
        <v>0.83</v>
      </c>
      <c r="N354" s="7">
        <v>0.5</v>
      </c>
      <c r="O354" s="7">
        <v>4080</v>
      </c>
      <c r="P354" s="7">
        <v>2448</v>
      </c>
      <c r="Q354" s="7">
        <v>0.5</v>
      </c>
      <c r="R354" s="7">
        <v>4080</v>
      </c>
      <c r="S354" s="7">
        <v>2448</v>
      </c>
      <c r="T354" s="7">
        <v>0.5</v>
      </c>
      <c r="U354" s="12">
        <v>782</v>
      </c>
      <c r="V354" s="12">
        <v>782</v>
      </c>
      <c r="W354" s="7">
        <v>100</v>
      </c>
      <c r="X354" s="12">
        <v>0.01</v>
      </c>
      <c r="Y354" s="7">
        <v>5</v>
      </c>
      <c r="Z354" s="7">
        <v>5</v>
      </c>
      <c r="AA354" s="7">
        <v>0.5</v>
      </c>
      <c r="AB354" s="7"/>
      <c r="AC354" s="7"/>
      <c r="AD354" s="4">
        <f>0.18*Crew_Size*Mission_Duration</f>
        <v>540</v>
      </c>
      <c r="AE354" s="4">
        <v>21.6</v>
      </c>
      <c r="AF354" s="4"/>
      <c r="AG354" s="4">
        <v>0.25</v>
      </c>
      <c r="AH354" s="9"/>
      <c r="AI354" s="9"/>
      <c r="AJ354" s="9"/>
      <c r="AK354" s="9"/>
      <c r="AL354" s="10"/>
      <c r="AM354" s="10"/>
      <c r="AN354" s="10"/>
      <c r="AO354" s="10"/>
      <c r="AP354" s="10"/>
      <c r="AQ354" s="11"/>
      <c r="AR354" s="4"/>
      <c r="AS354" s="10" t="s">
        <v>1517</v>
      </c>
      <c r="AT354" s="10"/>
      <c r="AU354" s="10"/>
      <c r="AV354" s="10"/>
      <c r="AW354" s="10"/>
      <c r="AX354" s="10"/>
      <c r="AY354" s="10"/>
      <c r="AZ354" s="10"/>
      <c r="BA354" s="10"/>
      <c r="BB354" s="10"/>
      <c r="BC354" s="10"/>
      <c r="BD354" s="10"/>
    </row>
    <row r="355" spans="1:56" ht="60" x14ac:dyDescent="0.25">
      <c r="A355" s="4" t="s">
        <v>1518</v>
      </c>
      <c r="B355" s="4" t="s">
        <v>1718</v>
      </c>
      <c r="C355" s="4" t="s">
        <v>46</v>
      </c>
      <c r="D355" s="4" t="s">
        <v>1160</v>
      </c>
      <c r="E355" s="5" t="s">
        <v>34</v>
      </c>
      <c r="F355" s="6"/>
      <c r="G355" s="4" t="s">
        <v>35</v>
      </c>
      <c r="H355" s="4" t="s">
        <v>1264</v>
      </c>
      <c r="I355" s="7">
        <v>24050</v>
      </c>
      <c r="J355" s="7"/>
      <c r="K355" s="7">
        <v>0.5</v>
      </c>
      <c r="L355" s="7">
        <v>21</v>
      </c>
      <c r="M355" s="64"/>
      <c r="N355" s="7">
        <v>0.5</v>
      </c>
      <c r="O355" s="7">
        <v>85700</v>
      </c>
      <c r="P355" s="7"/>
      <c r="Q355" s="7">
        <v>0.5</v>
      </c>
      <c r="R355" s="7">
        <v>85700</v>
      </c>
      <c r="S355" s="7"/>
      <c r="T355" s="7">
        <v>0.5</v>
      </c>
      <c r="U355" s="12"/>
      <c r="V355" s="12"/>
      <c r="W355" s="7"/>
      <c r="X355" s="12"/>
      <c r="Y355" s="7">
        <v>5</v>
      </c>
      <c r="Z355" s="7">
        <v>5</v>
      </c>
      <c r="AA355" s="7">
        <v>0.5</v>
      </c>
      <c r="AB355" s="7"/>
      <c r="AC355" s="7"/>
      <c r="AD355" s="4">
        <f>0.18*Crew_Size*Mission_Duration</f>
        <v>540</v>
      </c>
      <c r="AE355" s="4">
        <v>21.6</v>
      </c>
      <c r="AF355" s="4"/>
      <c r="AG355" s="4">
        <v>0.25</v>
      </c>
      <c r="AH355" s="9"/>
      <c r="AI355" s="9"/>
      <c r="AJ355" s="9"/>
      <c r="AK355" s="9"/>
      <c r="AL355" s="10"/>
      <c r="AM355" s="10"/>
      <c r="AN355" s="10"/>
      <c r="AO355" s="10"/>
      <c r="AP355" s="10"/>
      <c r="AQ355" s="11"/>
      <c r="AR355" s="4"/>
      <c r="AS355" s="10" t="s">
        <v>861</v>
      </c>
      <c r="AT355" s="10" t="s">
        <v>858</v>
      </c>
      <c r="AU355" s="10" t="s">
        <v>859</v>
      </c>
      <c r="AV355" s="10" t="s">
        <v>860</v>
      </c>
      <c r="AW355" s="10"/>
      <c r="AX355" s="10"/>
      <c r="AY355" s="10"/>
      <c r="AZ355" s="10"/>
      <c r="BA355" s="10"/>
      <c r="BB355" s="10"/>
      <c r="BC355" s="10"/>
      <c r="BD355" s="10"/>
    </row>
    <row r="356" spans="1:56" ht="60" x14ac:dyDescent="0.25">
      <c r="A356" s="4" t="s">
        <v>1519</v>
      </c>
      <c r="B356" s="4" t="s">
        <v>1520</v>
      </c>
      <c r="C356" s="4" t="s">
        <v>22</v>
      </c>
      <c r="D356" s="4" t="s">
        <v>1521</v>
      </c>
      <c r="E356" s="5" t="s">
        <v>34</v>
      </c>
      <c r="F356" s="6"/>
      <c r="G356" s="4" t="s">
        <v>35</v>
      </c>
      <c r="H356" s="4" t="s">
        <v>1541</v>
      </c>
      <c r="I356" s="7" t="s">
        <v>1542</v>
      </c>
      <c r="J356" s="7">
        <f>101.5*technologies[[#This Row],[Efficiency]]</f>
        <v>10.906784</v>
      </c>
      <c r="K356" s="7">
        <v>0.5</v>
      </c>
      <c r="L356" s="7">
        <f>0.292*0.368*0.47</f>
        <v>5.0504319999999998E-2</v>
      </c>
      <c r="M356" s="64">
        <v>5.0999999999999997E-2</v>
      </c>
      <c r="N356" s="7">
        <v>1</v>
      </c>
      <c r="O356" s="7">
        <v>70</v>
      </c>
      <c r="P356" s="7">
        <v>70</v>
      </c>
      <c r="Q356" s="7">
        <v>1</v>
      </c>
      <c r="R356" s="7">
        <v>70</v>
      </c>
      <c r="S356" s="7">
        <v>70</v>
      </c>
      <c r="T356" s="7">
        <v>1</v>
      </c>
      <c r="U356" s="12">
        <f>technologies[[#This Row],[Mass]]</f>
        <v>10.906784</v>
      </c>
      <c r="V356" s="12">
        <f>technologies[[#This Row],[Mass]]</f>
        <v>10.906784</v>
      </c>
      <c r="W356" s="7">
        <f>0.292*0.368</f>
        <v>0.107456</v>
      </c>
      <c r="X356" s="12">
        <f>1.28*technologies[[#This Row],[Efficiency]]/365</f>
        <v>3.7683200000000001E-4</v>
      </c>
      <c r="Y356" s="7">
        <v>5</v>
      </c>
      <c r="Z356" s="7">
        <v>5</v>
      </c>
      <c r="AA356" s="7">
        <v>1</v>
      </c>
      <c r="AB356" s="7"/>
      <c r="AC356" s="7"/>
      <c r="AD356" s="4"/>
      <c r="AE356" s="4">
        <f>13.1*technologies[[#This Row],[Efficiency]]</f>
        <v>1.4076735999999999</v>
      </c>
      <c r="AF356" s="4"/>
      <c r="AG356" s="4"/>
      <c r="AH356" s="9"/>
      <c r="AI356" s="9"/>
      <c r="AJ356" s="9"/>
      <c r="AK356" s="9"/>
      <c r="AL356" s="10" t="s">
        <v>855</v>
      </c>
      <c r="AM356" s="10" t="s">
        <v>1082</v>
      </c>
      <c r="AN356" s="10" t="s">
        <v>857</v>
      </c>
      <c r="AO356" s="10"/>
      <c r="AP356" s="10"/>
      <c r="AQ356" s="10"/>
      <c r="AR356" s="10"/>
      <c r="AS356" s="10" t="s">
        <v>1522</v>
      </c>
      <c r="AT356" s="10" t="s">
        <v>1081</v>
      </c>
      <c r="AU356" s="10" t="s">
        <v>1082</v>
      </c>
      <c r="AV356" s="10" t="s">
        <v>857</v>
      </c>
      <c r="AW356" s="10"/>
      <c r="AX356" s="10"/>
      <c r="AY356" s="10"/>
      <c r="AZ356" s="10"/>
      <c r="BA356" s="10"/>
      <c r="BB356" s="10"/>
      <c r="BC356" s="10"/>
      <c r="BD356" s="10"/>
    </row>
    <row r="357" spans="1:56" ht="165" x14ac:dyDescent="0.25">
      <c r="A357" s="4" t="s">
        <v>1525</v>
      </c>
      <c r="B357" s="4" t="s">
        <v>1535</v>
      </c>
      <c r="C357" s="4" t="s">
        <v>22</v>
      </c>
      <c r="D357" s="4" t="s">
        <v>1521</v>
      </c>
      <c r="E357" s="5" t="s">
        <v>34</v>
      </c>
      <c r="F357" s="6"/>
      <c r="G357" s="4" t="s">
        <v>35</v>
      </c>
      <c r="H357" s="4" t="s">
        <v>1683</v>
      </c>
      <c r="I357" s="7" t="s">
        <v>1528</v>
      </c>
      <c r="J357" s="7">
        <f>87.7*technologies[[#This Row],[Efficiency]]</f>
        <v>162.06960000000001</v>
      </c>
      <c r="K357" s="7">
        <v>0.5</v>
      </c>
      <c r="L357" s="7"/>
      <c r="M357" s="64">
        <v>1.571</v>
      </c>
      <c r="N357" s="7">
        <v>0.5</v>
      </c>
      <c r="O357" s="7" t="s">
        <v>1531</v>
      </c>
      <c r="P357" s="7">
        <f>943*technologies[[#This Row],[Efficiency]]</f>
        <v>1742.664</v>
      </c>
      <c r="Q357" s="7">
        <v>0.5</v>
      </c>
      <c r="R357" s="7" t="s">
        <v>1530</v>
      </c>
      <c r="S357" s="7">
        <f>943*technologies[[#This Row],[Efficiency]]</f>
        <v>1742.664</v>
      </c>
      <c r="T357" s="7">
        <v>0.5</v>
      </c>
      <c r="U357" s="12">
        <f>technologies[[#This Row],[Mass]]</f>
        <v>162.06960000000001</v>
      </c>
      <c r="V357" s="12">
        <f>technologies[[#This Row],[Mass]]</f>
        <v>162.06960000000001</v>
      </c>
      <c r="W357" s="7">
        <v>1.8480000000000001</v>
      </c>
      <c r="X357" s="12">
        <f>1.28*technologies[[#This Row],[Efficiency]]/365</f>
        <v>6.4806575342465757E-3</v>
      </c>
      <c r="Y357" s="7">
        <v>5</v>
      </c>
      <c r="Z357" s="7">
        <v>5</v>
      </c>
      <c r="AA357" s="7">
        <v>1</v>
      </c>
      <c r="AB357" s="7">
        <v>40000</v>
      </c>
      <c r="AC357" s="7"/>
      <c r="AD357" s="4" t="s">
        <v>1684</v>
      </c>
      <c r="AE357" s="4">
        <f>13.1*technologies[[#This Row],[Efficiency]]</f>
        <v>24.2088</v>
      </c>
      <c r="AF357" s="4"/>
      <c r="AG357" s="4">
        <v>0.25</v>
      </c>
      <c r="AH357" s="9"/>
      <c r="AI357" s="9"/>
      <c r="AJ357" s="9"/>
      <c r="AK357" s="9"/>
      <c r="AL357" s="10" t="s">
        <v>1522</v>
      </c>
      <c r="AM357" s="10" t="s">
        <v>1081</v>
      </c>
      <c r="AN357" s="10" t="s">
        <v>1082</v>
      </c>
      <c r="AO357" s="10" t="s">
        <v>857</v>
      </c>
      <c r="AP357" s="10"/>
      <c r="AQ357" s="10"/>
      <c r="AR357" s="10"/>
      <c r="AS357" s="10" t="s">
        <v>1522</v>
      </c>
      <c r="AT357" s="10" t="s">
        <v>1081</v>
      </c>
      <c r="AU357" s="10" t="s">
        <v>1082</v>
      </c>
      <c r="AV357" s="10" t="s">
        <v>857</v>
      </c>
      <c r="AW357" s="10"/>
      <c r="AX357" s="10"/>
      <c r="AY357" s="10"/>
      <c r="AZ357" s="10"/>
      <c r="BA357" s="10"/>
      <c r="BB357" s="10"/>
      <c r="BC357" s="10"/>
      <c r="BD357" s="10"/>
    </row>
    <row r="358" spans="1:56" ht="150" x14ac:dyDescent="0.25">
      <c r="A358" s="4" t="s">
        <v>1536</v>
      </c>
      <c r="B358" s="4" t="s">
        <v>1538</v>
      </c>
      <c r="C358" s="4" t="s">
        <v>22</v>
      </c>
      <c r="D358" s="4" t="s">
        <v>1521</v>
      </c>
      <c r="E358" s="5" t="s">
        <v>34</v>
      </c>
      <c r="F358" s="6"/>
      <c r="G358" s="4" t="s">
        <v>35</v>
      </c>
      <c r="H358" s="4" t="s">
        <v>1685</v>
      </c>
      <c r="I358" s="7" t="s">
        <v>1528</v>
      </c>
      <c r="J358" s="7">
        <f>87.7*technologies[[#This Row],[Efficiency]]</f>
        <v>1710.15</v>
      </c>
      <c r="K358" s="7">
        <v>0.5</v>
      </c>
      <c r="L358" s="7" t="s">
        <v>1529</v>
      </c>
      <c r="M358" s="64">
        <f>1.03*technologies[[#This Row],[Efficiency]]</f>
        <v>20.085000000000001</v>
      </c>
      <c r="N358" s="7">
        <v>0.5</v>
      </c>
      <c r="O358" s="7" t="s">
        <v>1531</v>
      </c>
      <c r="P358" s="7">
        <f>943*technologies[[#This Row],[Efficiency]]</f>
        <v>18388.5</v>
      </c>
      <c r="Q358" s="7">
        <v>0.5</v>
      </c>
      <c r="R358" s="7" t="s">
        <v>1530</v>
      </c>
      <c r="S358" s="7">
        <f>943*technologies[[#This Row],[Efficiency]]</f>
        <v>18388.5</v>
      </c>
      <c r="T358" s="7">
        <v>0.5</v>
      </c>
      <c r="U358" s="12">
        <v>187</v>
      </c>
      <c r="V358" s="12">
        <v>187</v>
      </c>
      <c r="W358" s="7">
        <v>19.5</v>
      </c>
      <c r="X358" s="12">
        <f>1.28*technologies[[#This Row],[Efficiency]]/365</f>
        <v>6.8383561643835619E-2</v>
      </c>
      <c r="Y358" s="7">
        <v>5</v>
      </c>
      <c r="Z358" s="7">
        <v>5</v>
      </c>
      <c r="AA358" s="7">
        <v>1</v>
      </c>
      <c r="AB358" s="7">
        <v>40000</v>
      </c>
      <c r="AC358" s="7"/>
      <c r="AD358" s="4" t="s">
        <v>1532</v>
      </c>
      <c r="AE358" s="4"/>
      <c r="AF358" s="4">
        <f>13.1*technologies[[#This Row],[Efficiency]]</f>
        <v>255.45</v>
      </c>
      <c r="AG358" s="4">
        <v>0.25</v>
      </c>
      <c r="AH358" s="9"/>
      <c r="AI358" s="9"/>
      <c r="AJ358" s="9"/>
      <c r="AK358" s="9"/>
      <c r="AL358" s="10" t="s">
        <v>1522</v>
      </c>
      <c r="AM358" s="10" t="s">
        <v>1081</v>
      </c>
      <c r="AN358" s="10" t="s">
        <v>1082</v>
      </c>
      <c r="AO358" s="10" t="s">
        <v>857</v>
      </c>
      <c r="AP358" s="10"/>
      <c r="AQ358" s="10"/>
      <c r="AR358" s="10"/>
      <c r="AS358" s="10" t="s">
        <v>1522</v>
      </c>
      <c r="AT358" s="10" t="s">
        <v>1081</v>
      </c>
      <c r="AU358" s="10" t="s">
        <v>1082</v>
      </c>
      <c r="AV358" s="10" t="s">
        <v>857</v>
      </c>
      <c r="AW358" s="10"/>
      <c r="AX358" s="10"/>
      <c r="AY358" s="10"/>
      <c r="AZ358" s="10"/>
      <c r="BA358" s="10"/>
      <c r="BB358" s="10"/>
      <c r="BC358" s="10"/>
      <c r="BD358" s="10"/>
    </row>
    <row r="359" spans="1:56" ht="150" x14ac:dyDescent="0.25">
      <c r="A359" s="4" t="s">
        <v>1695</v>
      </c>
      <c r="B359" s="4" t="s">
        <v>1537</v>
      </c>
      <c r="C359" s="4" t="s">
        <v>22</v>
      </c>
      <c r="D359" s="4" t="s">
        <v>1521</v>
      </c>
      <c r="E359" s="5" t="s">
        <v>34</v>
      </c>
      <c r="F359" s="6"/>
      <c r="G359" s="4" t="s">
        <v>35</v>
      </c>
      <c r="H359" s="4" t="s">
        <v>1685</v>
      </c>
      <c r="I359" s="7" t="s">
        <v>1528</v>
      </c>
      <c r="J359" s="7">
        <f>87.7*technologies[[#This Row],[Efficiency]]</f>
        <v>14395.955000000002</v>
      </c>
      <c r="K359" s="7">
        <v>0.5</v>
      </c>
      <c r="L359" s="7" t="s">
        <v>1529</v>
      </c>
      <c r="M359" s="64">
        <f>1.03*technologies[[#This Row],[Efficiency]]</f>
        <v>169.0745</v>
      </c>
      <c r="N359" s="7">
        <v>0.5</v>
      </c>
      <c r="O359" s="7" t="s">
        <v>1531</v>
      </c>
      <c r="P359" s="7">
        <f>943*technologies[[#This Row],[Efficiency]]</f>
        <v>154793.45000000001</v>
      </c>
      <c r="Q359" s="7">
        <v>0.5</v>
      </c>
      <c r="R359" s="7" t="s">
        <v>1530</v>
      </c>
      <c r="S359" s="7">
        <f>943*technologies[[#This Row],[Efficiency]]</f>
        <v>154793.45000000001</v>
      </c>
      <c r="T359" s="7">
        <v>0.5</v>
      </c>
      <c r="U359" s="12">
        <v>187</v>
      </c>
      <c r="V359" s="12">
        <v>187</v>
      </c>
      <c r="W359" s="7">
        <v>164.15</v>
      </c>
      <c r="X359" s="12">
        <f>1.28*technologies[[#This Row],[Efficiency]]/365</f>
        <v>0.57564931506849326</v>
      </c>
      <c r="Y359" s="7">
        <v>5</v>
      </c>
      <c r="Z359" s="7">
        <v>5</v>
      </c>
      <c r="AA359" s="7">
        <v>1</v>
      </c>
      <c r="AB359" s="7">
        <v>40000</v>
      </c>
      <c r="AC359" s="7"/>
      <c r="AD359" s="4" t="s">
        <v>1532</v>
      </c>
      <c r="AE359" s="4"/>
      <c r="AF359" s="4">
        <f>13.1*technologies[[#This Row],[Efficiency]]</f>
        <v>2150.3650000000002</v>
      </c>
      <c r="AG359" s="4">
        <v>0.25</v>
      </c>
      <c r="AH359" s="9"/>
      <c r="AI359" s="9"/>
      <c r="AJ359" s="9"/>
      <c r="AK359" s="9"/>
      <c r="AL359" s="10" t="s">
        <v>1522</v>
      </c>
      <c r="AM359" s="10" t="s">
        <v>1081</v>
      </c>
      <c r="AN359" s="10" t="s">
        <v>1082</v>
      </c>
      <c r="AO359" s="10" t="s">
        <v>857</v>
      </c>
      <c r="AP359" s="10"/>
      <c r="AQ359" s="10"/>
      <c r="AR359" s="10"/>
      <c r="AS359" s="10" t="s">
        <v>1522</v>
      </c>
      <c r="AT359" s="10" t="s">
        <v>1081</v>
      </c>
      <c r="AU359" s="10" t="s">
        <v>1082</v>
      </c>
      <c r="AV359" s="10" t="s">
        <v>857</v>
      </c>
      <c r="AW359" s="10"/>
      <c r="AX359" s="10"/>
      <c r="AY359" s="10"/>
      <c r="AZ359" s="10"/>
      <c r="BA359" s="10"/>
      <c r="BB359" s="10"/>
      <c r="BC359" s="10"/>
      <c r="BD359" s="10"/>
    </row>
    <row r="360" spans="1:56" ht="45" x14ac:dyDescent="0.25">
      <c r="A360" s="4" t="s">
        <v>1691</v>
      </c>
      <c r="B360" s="4" t="s">
        <v>1688</v>
      </c>
      <c r="C360" s="4" t="s">
        <v>22</v>
      </c>
      <c r="D360" s="4" t="s">
        <v>1521</v>
      </c>
      <c r="E360" s="5" t="s">
        <v>34</v>
      </c>
      <c r="F360" s="6"/>
      <c r="G360" s="4" t="s">
        <v>35</v>
      </c>
      <c r="H360" s="4" t="s">
        <v>1692</v>
      </c>
      <c r="I360" s="7" t="s">
        <v>1528</v>
      </c>
      <c r="J360" s="7">
        <f>87.7*technologies[[#This Row],[Efficiency]]</f>
        <v>4696.335</v>
      </c>
      <c r="K360" s="7">
        <v>0.5</v>
      </c>
      <c r="L360" s="7" t="s">
        <v>1529</v>
      </c>
      <c r="M360" s="64">
        <f>1.03*technologies[[#This Row],[Efficiency]]</f>
        <v>55.156500000000001</v>
      </c>
      <c r="N360" s="7">
        <v>0.5</v>
      </c>
      <c r="O360" s="7" t="s">
        <v>1531</v>
      </c>
      <c r="P360" s="7">
        <f>943*technologies[[#This Row],[Efficiency]]</f>
        <v>50497.649999999994</v>
      </c>
      <c r="Q360" s="7">
        <v>0.5</v>
      </c>
      <c r="R360" s="7" t="s">
        <v>1530</v>
      </c>
      <c r="S360" s="7">
        <f>943*technologies[[#This Row],[Efficiency]]</f>
        <v>50497.649999999994</v>
      </c>
      <c r="T360" s="7">
        <v>0.5</v>
      </c>
      <c r="U360" s="12">
        <v>187</v>
      </c>
      <c r="V360" s="12">
        <v>187</v>
      </c>
      <c r="W360" s="7">
        <v>53.55</v>
      </c>
      <c r="X360" s="12">
        <f>1.28*technologies[[#This Row],[Efficiency]]/365</f>
        <v>0.1877917808219178</v>
      </c>
      <c r="Y360" s="7">
        <v>5</v>
      </c>
      <c r="Z360" s="7">
        <v>5</v>
      </c>
      <c r="AA360" s="7">
        <v>1</v>
      </c>
      <c r="AB360" s="7">
        <v>40000</v>
      </c>
      <c r="AC360" s="7"/>
      <c r="AD360" s="4" t="s">
        <v>1532</v>
      </c>
      <c r="AE360" s="4"/>
      <c r="AF360" s="4">
        <f>13.1*technologies[[#This Row],[Efficiency]]</f>
        <v>701.505</v>
      </c>
      <c r="AG360" s="4">
        <v>0.25</v>
      </c>
      <c r="AH360" s="9"/>
      <c r="AI360" s="9"/>
      <c r="AJ360" s="9"/>
      <c r="AK360" s="9"/>
      <c r="AL360" s="10" t="s">
        <v>1522</v>
      </c>
      <c r="AM360" s="10" t="s">
        <v>1081</v>
      </c>
      <c r="AN360" s="10" t="s">
        <v>1082</v>
      </c>
      <c r="AO360" s="10" t="s">
        <v>857</v>
      </c>
      <c r="AP360" s="10"/>
      <c r="AQ360" s="11"/>
      <c r="AR360" s="4"/>
      <c r="AS360" s="10" t="s">
        <v>1522</v>
      </c>
      <c r="AT360" s="10" t="s">
        <v>1081</v>
      </c>
      <c r="AU360" s="10" t="s">
        <v>1082</v>
      </c>
      <c r="AV360" s="10" t="s">
        <v>857</v>
      </c>
      <c r="AW360" s="10"/>
      <c r="AX360" s="10"/>
      <c r="AY360" s="10"/>
      <c r="AZ360" s="10"/>
      <c r="BA360" s="10"/>
      <c r="BB360" s="10"/>
      <c r="BC360" s="10"/>
      <c r="BD360" s="10"/>
    </row>
    <row r="361" spans="1:56" ht="150" x14ac:dyDescent="0.25">
      <c r="A361" s="4" t="s">
        <v>1694</v>
      </c>
      <c r="B361" s="4" t="s">
        <v>1696</v>
      </c>
      <c r="C361" s="4" t="s">
        <v>22</v>
      </c>
      <c r="D361" s="4" t="s">
        <v>1521</v>
      </c>
      <c r="E361" s="5" t="s">
        <v>34</v>
      </c>
      <c r="F361" s="6"/>
      <c r="G361" s="4" t="s">
        <v>35</v>
      </c>
      <c r="H361" s="4" t="s">
        <v>1685</v>
      </c>
      <c r="I361" s="7" t="s">
        <v>1528</v>
      </c>
      <c r="J361" s="7">
        <f>87.7*technologies[[#This Row],[Efficiency]]</f>
        <v>4506.0260000000007</v>
      </c>
      <c r="K361" s="7">
        <v>0.5</v>
      </c>
      <c r="L361" s="7" t="s">
        <v>1529</v>
      </c>
      <c r="M361" s="64">
        <f>1.03*technologies[[#This Row],[Efficiency]]</f>
        <v>52.921400000000006</v>
      </c>
      <c r="N361" s="7">
        <v>0.5</v>
      </c>
      <c r="O361" s="7" t="s">
        <v>1531</v>
      </c>
      <c r="P361" s="7">
        <f>943*technologies[[#This Row],[Efficiency]]</f>
        <v>48451.340000000004</v>
      </c>
      <c r="Q361" s="7">
        <v>0.5</v>
      </c>
      <c r="R361" s="7" t="s">
        <v>1530</v>
      </c>
      <c r="S361" s="7">
        <f>943*technologies[[#This Row],[Efficiency]]</f>
        <v>48451.340000000004</v>
      </c>
      <c r="T361" s="7">
        <v>0.5</v>
      </c>
      <c r="U361" s="12">
        <v>187</v>
      </c>
      <c r="V361" s="12">
        <v>187</v>
      </c>
      <c r="W361" s="7">
        <v>51.38</v>
      </c>
      <c r="X361" s="12">
        <f>1.28*technologies[[#This Row],[Efficiency]]/365</f>
        <v>0.18018191780821918</v>
      </c>
      <c r="Y361" s="7">
        <v>5</v>
      </c>
      <c r="Z361" s="7">
        <v>5</v>
      </c>
      <c r="AA361" s="7">
        <v>1</v>
      </c>
      <c r="AB361" s="7">
        <v>40000</v>
      </c>
      <c r="AC361" s="7"/>
      <c r="AD361" s="4" t="s">
        <v>1532</v>
      </c>
      <c r="AE361" s="4"/>
      <c r="AF361" s="4">
        <f>13.1*technologies[[#This Row],[Efficiency]]</f>
        <v>673.07799999999997</v>
      </c>
      <c r="AG361" s="4">
        <v>0.25</v>
      </c>
      <c r="AH361" s="9"/>
      <c r="AI361" s="9"/>
      <c r="AJ361" s="9"/>
      <c r="AK361" s="9"/>
      <c r="AL361" s="10" t="s">
        <v>1522</v>
      </c>
      <c r="AM361" s="10" t="s">
        <v>1081</v>
      </c>
      <c r="AN361" s="10" t="s">
        <v>1082</v>
      </c>
      <c r="AO361" s="10" t="s">
        <v>857</v>
      </c>
      <c r="AP361" s="10"/>
      <c r="AQ361" s="11"/>
      <c r="AR361" s="4"/>
      <c r="AS361" s="10" t="s">
        <v>1522</v>
      </c>
      <c r="AT361" s="10" t="s">
        <v>1081</v>
      </c>
      <c r="AU361" s="10" t="s">
        <v>1082</v>
      </c>
      <c r="AV361" s="10" t="s">
        <v>857</v>
      </c>
      <c r="AW361" s="10"/>
      <c r="AX361" s="10"/>
      <c r="AY361" s="10"/>
      <c r="AZ361" s="10"/>
      <c r="BA361" s="10"/>
      <c r="BB361" s="10"/>
      <c r="BC361" s="10"/>
      <c r="BD361" s="10"/>
    </row>
    <row r="362" spans="1:56" ht="150" x14ac:dyDescent="0.25">
      <c r="A362" s="4" t="s">
        <v>1705</v>
      </c>
      <c r="B362" s="4" t="s">
        <v>1704</v>
      </c>
      <c r="C362" s="4" t="s">
        <v>22</v>
      </c>
      <c r="D362" s="4" t="s">
        <v>1521</v>
      </c>
      <c r="E362" s="5" t="s">
        <v>34</v>
      </c>
      <c r="F362" s="6"/>
      <c r="G362" s="4" t="s">
        <v>35</v>
      </c>
      <c r="H362" s="4" t="s">
        <v>1692</v>
      </c>
      <c r="I362" s="7" t="s">
        <v>1528</v>
      </c>
      <c r="J362" s="7">
        <f>87.7*technologies[[#This Row],[Efficiency]]</f>
        <v>4998.9000000000005</v>
      </c>
      <c r="K362" s="7">
        <v>0.5</v>
      </c>
      <c r="L362" s="7" t="s">
        <v>1529</v>
      </c>
      <c r="M362" s="64">
        <f>1.03*technologies[[#This Row],[Efficiency]]</f>
        <v>58.71</v>
      </c>
      <c r="N362" s="7">
        <v>0.5</v>
      </c>
      <c r="O362" s="7" t="s">
        <v>1531</v>
      </c>
      <c r="P362" s="7">
        <f>943*technologies[[#This Row],[Efficiency]]</f>
        <v>53751</v>
      </c>
      <c r="Q362" s="7">
        <v>0.5</v>
      </c>
      <c r="R362" s="7" t="s">
        <v>1530</v>
      </c>
      <c r="S362" s="7">
        <f>943*technologies[[#This Row],[Efficiency]]</f>
        <v>53751</v>
      </c>
      <c r="T362" s="7">
        <v>0.5</v>
      </c>
      <c r="U362" s="12">
        <v>187</v>
      </c>
      <c r="V362" s="12">
        <v>187</v>
      </c>
      <c r="W362" s="7">
        <v>57</v>
      </c>
      <c r="X362" s="12">
        <f>1.28*technologies[[#This Row],[Efficiency]]/365</f>
        <v>0.19989041095890414</v>
      </c>
      <c r="Y362" s="7">
        <v>5</v>
      </c>
      <c r="Z362" s="7">
        <v>5</v>
      </c>
      <c r="AA362" s="7">
        <v>1</v>
      </c>
      <c r="AB362" s="7">
        <v>40000</v>
      </c>
      <c r="AC362" s="7"/>
      <c r="AD362" s="4" t="s">
        <v>1532</v>
      </c>
      <c r="AE362" s="4"/>
      <c r="AF362" s="4">
        <f>13.1*technologies[[#This Row],[Efficiency]]</f>
        <v>746.69999999999993</v>
      </c>
      <c r="AG362" s="4">
        <v>0.25</v>
      </c>
      <c r="AH362" s="9"/>
      <c r="AI362" s="9"/>
      <c r="AJ362" s="9"/>
      <c r="AK362" s="9"/>
      <c r="AL362" s="10" t="s">
        <v>1522</v>
      </c>
      <c r="AM362" s="10" t="s">
        <v>1081</v>
      </c>
      <c r="AN362" s="10" t="s">
        <v>1082</v>
      </c>
      <c r="AO362" s="10" t="s">
        <v>857</v>
      </c>
      <c r="AP362" s="10"/>
      <c r="AQ362" s="11"/>
      <c r="AR362" s="4"/>
      <c r="AS362" s="10" t="s">
        <v>1522</v>
      </c>
      <c r="AT362" s="10" t="s">
        <v>1081</v>
      </c>
      <c r="AU362" s="10" t="s">
        <v>1082</v>
      </c>
      <c r="AV362" s="10" t="s">
        <v>857</v>
      </c>
      <c r="AW362" s="10"/>
      <c r="AX362" s="10"/>
      <c r="AY362" s="10"/>
      <c r="AZ362" s="10"/>
      <c r="BA362" s="10"/>
      <c r="BB362" s="10"/>
      <c r="BC362" s="10"/>
      <c r="BD362" s="10"/>
    </row>
    <row r="363" spans="1:56" ht="75" x14ac:dyDescent="0.25">
      <c r="A363" s="4" t="s">
        <v>1703</v>
      </c>
      <c r="B363" s="4" t="s">
        <v>1702</v>
      </c>
      <c r="C363" s="4" t="s">
        <v>22</v>
      </c>
      <c r="D363" s="4" t="s">
        <v>1521</v>
      </c>
      <c r="E363" s="5" t="s">
        <v>34</v>
      </c>
      <c r="F363" s="6"/>
      <c r="G363" s="4" t="s">
        <v>35</v>
      </c>
      <c r="H363" s="4" t="s">
        <v>1692</v>
      </c>
      <c r="I363" s="7" t="s">
        <v>1528</v>
      </c>
      <c r="J363" s="7">
        <f>87.7*technologies[[#This Row],[Efficiency]]</f>
        <v>10090.762000000001</v>
      </c>
      <c r="K363" s="7">
        <v>0.5</v>
      </c>
      <c r="L363" s="7" t="s">
        <v>1529</v>
      </c>
      <c r="M363" s="64">
        <f>1.03*technologies[[#This Row],[Efficiency]]</f>
        <v>118.51180000000001</v>
      </c>
      <c r="N363" s="7">
        <v>0.5</v>
      </c>
      <c r="O363" s="7" t="s">
        <v>1531</v>
      </c>
      <c r="P363" s="7">
        <f>943*technologies[[#This Row],[Efficiency]]</f>
        <v>108501.58</v>
      </c>
      <c r="Q363" s="7">
        <v>0.5</v>
      </c>
      <c r="R363" s="7" t="s">
        <v>1530</v>
      </c>
      <c r="S363" s="7">
        <f>943*technologies[[#This Row],[Efficiency]]</f>
        <v>108501.58</v>
      </c>
      <c r="T363" s="7">
        <v>0.5</v>
      </c>
      <c r="U363" s="12">
        <v>187</v>
      </c>
      <c r="V363" s="12">
        <v>187</v>
      </c>
      <c r="W363" s="7">
        <v>115.06</v>
      </c>
      <c r="X363" s="12">
        <f>1.28*technologies[[#This Row],[Efficiency]]/365</f>
        <v>0.40349808219178085</v>
      </c>
      <c r="Y363" s="7">
        <v>5</v>
      </c>
      <c r="Z363" s="7">
        <v>5</v>
      </c>
      <c r="AA363" s="7">
        <v>1</v>
      </c>
      <c r="AB363" s="7">
        <v>40000</v>
      </c>
      <c r="AC363" s="7"/>
      <c r="AD363" s="4" t="s">
        <v>1532</v>
      </c>
      <c r="AE363" s="4"/>
      <c r="AF363" s="4">
        <f>13.1*technologies[[#This Row],[Efficiency]]</f>
        <v>1507.2860000000001</v>
      </c>
      <c r="AG363" s="4">
        <v>0.25</v>
      </c>
      <c r="AH363" s="9"/>
      <c r="AI363" s="9"/>
      <c r="AJ363" s="9"/>
      <c r="AK363" s="9"/>
      <c r="AL363" s="10" t="s">
        <v>1522</v>
      </c>
      <c r="AM363" s="10" t="s">
        <v>1081</v>
      </c>
      <c r="AN363" s="10" t="s">
        <v>1082</v>
      </c>
      <c r="AO363" s="10" t="s">
        <v>857</v>
      </c>
      <c r="AP363" s="10"/>
      <c r="AQ363" s="11"/>
      <c r="AR363" s="4"/>
      <c r="AS363" s="10" t="s">
        <v>1522</v>
      </c>
      <c r="AT363" s="10" t="s">
        <v>1081</v>
      </c>
      <c r="AU363" s="10" t="s">
        <v>1082</v>
      </c>
      <c r="AV363" s="10" t="s">
        <v>857</v>
      </c>
      <c r="AW363" s="10"/>
      <c r="AX363" s="10"/>
      <c r="AY363" s="10"/>
      <c r="AZ363" s="10"/>
      <c r="BA363" s="10"/>
      <c r="BB363" s="10"/>
      <c r="BC363" s="10"/>
      <c r="BD363" s="10"/>
    </row>
    <row r="364" spans="1:56" ht="30" x14ac:dyDescent="0.25">
      <c r="A364" s="4" t="s">
        <v>1719</v>
      </c>
      <c r="B364" s="4" t="s">
        <v>1720</v>
      </c>
      <c r="C364" s="4" t="s">
        <v>22</v>
      </c>
      <c r="D364" s="4" t="s">
        <v>33</v>
      </c>
      <c r="E364" s="5" t="s">
        <v>34</v>
      </c>
      <c r="F364" s="6"/>
      <c r="G364" s="4" t="s">
        <v>35</v>
      </c>
      <c r="H364" s="4" t="s">
        <v>2005</v>
      </c>
      <c r="I364" s="7">
        <v>190</v>
      </c>
      <c r="J364" s="7">
        <f>technologies[[#This Row],[Mass
Literature]]/4</f>
        <v>47.5</v>
      </c>
      <c r="K364" s="7">
        <v>0.5</v>
      </c>
      <c r="L364" s="7">
        <v>0.22</v>
      </c>
      <c r="M364" s="64">
        <f>technologies[[#This Row],[Volume
Literature]]/4</f>
        <v>5.5E-2</v>
      </c>
      <c r="N364" s="7">
        <v>0.5</v>
      </c>
      <c r="O364" s="7">
        <v>419</v>
      </c>
      <c r="P364" s="7">
        <f>technologies[[#This Row],[Heat Generated
Literature]]/4</f>
        <v>104.75</v>
      </c>
      <c r="Q364" s="7">
        <v>0.5</v>
      </c>
      <c r="R364" s="7">
        <v>740</v>
      </c>
      <c r="S364" s="7">
        <f>technologies[[#This Row],[Power required
Literature]]/4</f>
        <v>185</v>
      </c>
      <c r="T364" s="7">
        <v>0.5</v>
      </c>
      <c r="U364" s="12">
        <v>20</v>
      </c>
      <c r="V364" s="12">
        <f>190/4</f>
        <v>47.5</v>
      </c>
      <c r="W364" s="7"/>
      <c r="X364" s="12"/>
      <c r="Y364" s="7">
        <v>5</v>
      </c>
      <c r="Z364" s="7">
        <v>5</v>
      </c>
      <c r="AA364" s="7">
        <v>1</v>
      </c>
      <c r="AB364" s="7"/>
      <c r="AC364" s="7"/>
      <c r="AD364" s="4"/>
      <c r="AE364" s="4"/>
      <c r="AF364" s="4"/>
      <c r="AG364" s="4"/>
      <c r="AH364" s="9"/>
      <c r="AI364" s="9"/>
      <c r="AJ364" s="9"/>
      <c r="AK364" s="9"/>
      <c r="AL364" s="10" t="s">
        <v>1522</v>
      </c>
      <c r="AM364" s="10" t="s">
        <v>1081</v>
      </c>
      <c r="AN364" s="10" t="s">
        <v>1082</v>
      </c>
      <c r="AO364" s="10" t="s">
        <v>857</v>
      </c>
      <c r="AP364" s="10"/>
      <c r="AQ364" s="11"/>
      <c r="AR364" s="4"/>
      <c r="AS364" s="10" t="s">
        <v>1081</v>
      </c>
      <c r="AT364" s="10"/>
      <c r="AU364" s="10"/>
      <c r="AV364" s="10"/>
      <c r="AW364" s="10"/>
      <c r="AX364" s="10"/>
      <c r="AY364" s="10"/>
      <c r="AZ364" s="10"/>
      <c r="BA364" s="10"/>
      <c r="BB364" s="10"/>
      <c r="BC364" s="10"/>
      <c r="BD364" s="10"/>
    </row>
    <row r="365" spans="1:56" ht="30" x14ac:dyDescent="0.25">
      <c r="A365" s="4" t="s">
        <v>1723</v>
      </c>
      <c r="B365" s="4" t="s">
        <v>1721</v>
      </c>
      <c r="C365" s="4" t="s">
        <v>22</v>
      </c>
      <c r="D365" s="4" t="s">
        <v>1726</v>
      </c>
      <c r="E365" s="5" t="s">
        <v>34</v>
      </c>
      <c r="F365" s="6"/>
      <c r="G365" s="4" t="s">
        <v>35</v>
      </c>
      <c r="H365" s="4" t="s">
        <v>2006</v>
      </c>
      <c r="I365" s="7">
        <v>50</v>
      </c>
      <c r="J365" s="7">
        <f>technologies[[#This Row],[Mass
Literature]]/4</f>
        <v>12.5</v>
      </c>
      <c r="K365" s="7">
        <v>0.1</v>
      </c>
      <c r="L365" s="7">
        <v>0.25</v>
      </c>
      <c r="M365" s="64">
        <f>technologies[[#This Row],[Volume
Literature]]/4</f>
        <v>6.25E-2</v>
      </c>
      <c r="N365" s="7">
        <v>0.1</v>
      </c>
      <c r="O365" s="7">
        <v>832</v>
      </c>
      <c r="P365" s="7">
        <f>technologies[[#This Row],[Power required
Literature]]/4</f>
        <v>208</v>
      </c>
      <c r="Q365" s="7">
        <v>0.25</v>
      </c>
      <c r="R365" s="7">
        <v>832</v>
      </c>
      <c r="S365" s="7">
        <f>technologies[[#This Row],[Power required
Literature]]/4</f>
        <v>208</v>
      </c>
      <c r="T365" s="7">
        <v>0.25</v>
      </c>
      <c r="U365" s="12">
        <v>2.5</v>
      </c>
      <c r="V365" s="12">
        <v>12.5</v>
      </c>
      <c r="W365" s="7"/>
      <c r="X365" s="12"/>
      <c r="Y365" s="7">
        <v>6</v>
      </c>
      <c r="Z365" s="7">
        <v>6</v>
      </c>
      <c r="AA365" s="7">
        <v>1</v>
      </c>
      <c r="AB365" s="7"/>
      <c r="AC365" s="7"/>
      <c r="AD365" s="4"/>
      <c r="AE365" s="4"/>
      <c r="AF365" s="4"/>
      <c r="AG365" s="4"/>
      <c r="AH365" s="9"/>
      <c r="AI365" s="9"/>
      <c r="AJ365" s="9"/>
      <c r="AK365" s="9"/>
      <c r="AL365" s="10" t="s">
        <v>1522</v>
      </c>
      <c r="AM365" s="10" t="s">
        <v>1081</v>
      </c>
      <c r="AN365" s="10" t="s">
        <v>1082</v>
      </c>
      <c r="AO365" s="10" t="s">
        <v>857</v>
      </c>
      <c r="AP365" s="10"/>
      <c r="AQ365" s="11"/>
      <c r="AR365" s="4"/>
      <c r="AS365" s="10" t="s">
        <v>1726</v>
      </c>
      <c r="AT365" s="10"/>
      <c r="AU365" s="10"/>
      <c r="AV365" s="10"/>
      <c r="AW365" s="10"/>
      <c r="AX365" s="10"/>
      <c r="AY365" s="10"/>
      <c r="AZ365" s="10"/>
      <c r="BA365" s="10"/>
      <c r="BB365" s="10"/>
      <c r="BC365" s="10"/>
      <c r="BD365" s="10"/>
    </row>
    <row r="366" spans="1:56" ht="30" x14ac:dyDescent="0.25">
      <c r="A366" s="4" t="s">
        <v>1724</v>
      </c>
      <c r="B366" s="4" t="s">
        <v>1722</v>
      </c>
      <c r="C366" s="4" t="s">
        <v>22</v>
      </c>
      <c r="D366" s="4" t="s">
        <v>1726</v>
      </c>
      <c r="E366" s="5" t="s">
        <v>34</v>
      </c>
      <c r="F366" s="6"/>
      <c r="G366" s="4" t="s">
        <v>35</v>
      </c>
      <c r="H366" s="4"/>
      <c r="I366" s="7">
        <v>50</v>
      </c>
      <c r="J366" s="7">
        <f>technologies[[#This Row],[Mass
Literature]]/4</f>
        <v>12.5</v>
      </c>
      <c r="K366" s="7">
        <v>0.1</v>
      </c>
      <c r="L366" s="7">
        <v>0.25</v>
      </c>
      <c r="M366" s="64">
        <f>technologies[[#This Row],[Volume
Literature]]/4</f>
        <v>6.25E-2</v>
      </c>
      <c r="N366" s="7">
        <v>0.1</v>
      </c>
      <c r="O366" s="7">
        <v>832</v>
      </c>
      <c r="P366" s="7">
        <f>technologies[[#This Row],[Power required
Literature]]/4</f>
        <v>208</v>
      </c>
      <c r="Q366" s="7">
        <v>0.25</v>
      </c>
      <c r="R366" s="7">
        <v>832</v>
      </c>
      <c r="S366" s="7">
        <f>technologies[[#This Row],[Power required
Literature]]/4</f>
        <v>208</v>
      </c>
      <c r="T366" s="7">
        <v>0.25</v>
      </c>
      <c r="U366" s="12">
        <v>2.5</v>
      </c>
      <c r="V366" s="12">
        <v>12.5</v>
      </c>
      <c r="W366" s="7"/>
      <c r="X366" s="12"/>
      <c r="Y366" s="7">
        <v>3</v>
      </c>
      <c r="Z366" s="7">
        <v>3</v>
      </c>
      <c r="AA366" s="7">
        <v>1</v>
      </c>
      <c r="AB366" s="7"/>
      <c r="AC366" s="7"/>
      <c r="AD366" s="4"/>
      <c r="AE366" s="4"/>
      <c r="AF366" s="4"/>
      <c r="AG366" s="4"/>
      <c r="AH366" s="9"/>
      <c r="AI366" s="9"/>
      <c r="AJ366" s="9"/>
      <c r="AK366" s="9"/>
      <c r="AL366" s="10" t="s">
        <v>1522</v>
      </c>
      <c r="AM366" s="10" t="s">
        <v>1081</v>
      </c>
      <c r="AN366" s="10" t="s">
        <v>1082</v>
      </c>
      <c r="AO366" s="10" t="s">
        <v>857</v>
      </c>
      <c r="AP366" s="10"/>
      <c r="AQ366" s="11"/>
      <c r="AR366" s="4"/>
      <c r="AS366" s="10" t="s">
        <v>1726</v>
      </c>
      <c r="AT366" s="10"/>
      <c r="AU366" s="10"/>
      <c r="AV366" s="10"/>
      <c r="AW366" s="10"/>
      <c r="AX366" s="10"/>
      <c r="AY366" s="10"/>
      <c r="AZ366" s="10"/>
      <c r="BA366" s="10"/>
      <c r="BB366" s="10"/>
      <c r="BC366" s="10"/>
      <c r="BD366" s="10"/>
    </row>
    <row r="367" spans="1:56" ht="45" x14ac:dyDescent="0.25">
      <c r="A367" s="4" t="s">
        <v>2004</v>
      </c>
      <c r="B367" s="4" t="s">
        <v>1725</v>
      </c>
      <c r="C367" s="4" t="s">
        <v>22</v>
      </c>
      <c r="D367" s="4" t="s">
        <v>1726</v>
      </c>
      <c r="E367" s="5" t="s">
        <v>34</v>
      </c>
      <c r="F367" s="6"/>
      <c r="G367" s="6" t="s">
        <v>35</v>
      </c>
      <c r="H367" s="4"/>
      <c r="I367" s="7"/>
      <c r="J367" s="7"/>
      <c r="K367" s="7"/>
      <c r="L367" s="7"/>
      <c r="M367" s="64"/>
      <c r="N367" s="7"/>
      <c r="O367" s="7"/>
      <c r="P367" s="7"/>
      <c r="Q367" s="7"/>
      <c r="R367" s="7"/>
      <c r="S367" s="7"/>
      <c r="T367" s="7"/>
      <c r="U367" s="12"/>
      <c r="V367" s="12"/>
      <c r="W367" s="7"/>
      <c r="X367" s="12"/>
      <c r="Y367" s="7"/>
      <c r="Z367" s="7"/>
      <c r="AA367" s="7"/>
      <c r="AB367" s="7"/>
      <c r="AC367" s="7"/>
      <c r="AD367" s="4"/>
      <c r="AE367" s="4"/>
      <c r="AF367" s="4"/>
      <c r="AG367" s="4"/>
      <c r="AH367" s="9"/>
      <c r="AI367" s="9"/>
      <c r="AJ367" s="9"/>
      <c r="AK367" s="9"/>
      <c r="AL367" s="10"/>
      <c r="AM367" s="10"/>
      <c r="AN367" s="10"/>
      <c r="AO367" s="10"/>
      <c r="AP367" s="10"/>
      <c r="AQ367" s="11"/>
      <c r="AR367" s="4"/>
      <c r="AS367" s="10" t="s">
        <v>1726</v>
      </c>
      <c r="AT367" s="10"/>
      <c r="AU367" s="10"/>
      <c r="AV367" s="10"/>
      <c r="AW367" s="10"/>
      <c r="AX367" s="10"/>
      <c r="AY367" s="10"/>
      <c r="AZ367" s="10"/>
      <c r="BA367" s="10"/>
      <c r="BB367" s="10"/>
      <c r="BC367" s="10"/>
      <c r="BD367" s="10"/>
    </row>
    <row r="368" spans="1:56" x14ac:dyDescent="0.25">
      <c r="A368" s="4" t="s">
        <v>2209</v>
      </c>
      <c r="B368" s="4" t="s">
        <v>2209</v>
      </c>
      <c r="C368" s="4"/>
      <c r="D368" s="4"/>
      <c r="E368" s="5"/>
      <c r="F368" s="6"/>
      <c r="G368" s="6" t="s">
        <v>35</v>
      </c>
      <c r="H368" s="4"/>
      <c r="I368" s="7"/>
      <c r="J368" s="7"/>
      <c r="K368" s="7"/>
      <c r="L368" s="7"/>
      <c r="M368" s="64"/>
      <c r="N368" s="7"/>
      <c r="O368" s="7"/>
      <c r="P368" s="7"/>
      <c r="Q368" s="7"/>
      <c r="R368" s="7"/>
      <c r="S368" s="7"/>
      <c r="T368" s="7"/>
      <c r="U368" s="12"/>
      <c r="V368" s="12"/>
      <c r="W368" s="7">
        <v>100</v>
      </c>
      <c r="X368" s="12"/>
      <c r="Y368" s="7"/>
      <c r="Z368" s="7">
        <v>9</v>
      </c>
      <c r="AA368" s="7"/>
      <c r="AB368" s="7"/>
      <c r="AC368" s="7"/>
      <c r="AD368" s="4"/>
      <c r="AE368" s="4"/>
      <c r="AF368" s="4"/>
      <c r="AG368" s="4"/>
      <c r="AH368" s="9"/>
      <c r="AI368" s="9"/>
      <c r="AJ368" s="9"/>
      <c r="AK368" s="9"/>
      <c r="AL368" s="10"/>
      <c r="AM368" s="10"/>
      <c r="AN368" s="10"/>
      <c r="AO368" s="10"/>
      <c r="AP368" s="10"/>
      <c r="AQ368" s="11"/>
      <c r="AR368" s="4"/>
      <c r="AS368" s="10"/>
      <c r="AT368" s="10"/>
      <c r="AU368" s="10"/>
      <c r="AV368" s="10"/>
      <c r="AW368" s="10"/>
      <c r="AX368" s="10"/>
      <c r="AY368" s="10"/>
      <c r="AZ368" s="10"/>
      <c r="BA368" s="10"/>
      <c r="BB368" s="10"/>
      <c r="BC368" s="10"/>
      <c r="BD368" s="10"/>
    </row>
    <row r="369" spans="24:24" x14ac:dyDescent="0.25">
      <c r="X369" s="56"/>
    </row>
    <row r="370" spans="24:24" x14ac:dyDescent="0.25">
      <c r="X370" s="56"/>
    </row>
    <row r="371" spans="24:24" x14ac:dyDescent="0.25">
      <c r="X371" s="56"/>
    </row>
    <row r="372" spans="24:24" x14ac:dyDescent="0.25">
      <c r="X372" s="56"/>
    </row>
    <row r="373" spans="24:24" x14ac:dyDescent="0.25">
      <c r="X373" s="56"/>
    </row>
    <row r="374" spans="24:24" x14ac:dyDescent="0.25">
      <c r="X374" s="56"/>
    </row>
    <row r="375" spans="24:24" x14ac:dyDescent="0.25">
      <c r="X375" s="56"/>
    </row>
    <row r="376" spans="24:24" x14ac:dyDescent="0.25">
      <c r="X376" s="56"/>
    </row>
    <row r="377" spans="24:24" x14ac:dyDescent="0.25">
      <c r="X377" s="56"/>
    </row>
    <row r="378" spans="24:24" x14ac:dyDescent="0.25">
      <c r="X378" s="56"/>
    </row>
    <row r="379" spans="24:24" x14ac:dyDescent="0.25">
      <c r="X379" s="56"/>
    </row>
    <row r="380" spans="24:24" x14ac:dyDescent="0.25">
      <c r="X380" s="56"/>
    </row>
    <row r="381" spans="24:24" x14ac:dyDescent="0.25">
      <c r="X381" s="56"/>
    </row>
    <row r="382" spans="24:24" x14ac:dyDescent="0.25">
      <c r="X382" s="56"/>
    </row>
    <row r="383" spans="24:24" x14ac:dyDescent="0.25">
      <c r="X383" s="56"/>
    </row>
    <row r="384" spans="24:24" x14ac:dyDescent="0.25">
      <c r="X384" s="56"/>
    </row>
    <row r="385" spans="24:24" x14ac:dyDescent="0.25">
      <c r="X385" s="56"/>
    </row>
    <row r="386" spans="24:24" x14ac:dyDescent="0.25">
      <c r="X386" s="56"/>
    </row>
    <row r="387" spans="24:24" x14ac:dyDescent="0.25">
      <c r="X387" s="56"/>
    </row>
    <row r="388" spans="24:24" x14ac:dyDescent="0.25">
      <c r="X388" s="56"/>
    </row>
    <row r="389" spans="24:24" x14ac:dyDescent="0.25">
      <c r="X389" s="56"/>
    </row>
    <row r="390" spans="24:24" x14ac:dyDescent="0.25">
      <c r="X390" s="56"/>
    </row>
    <row r="391" spans="24:24" x14ac:dyDescent="0.25">
      <c r="X391" s="56"/>
    </row>
    <row r="392" spans="24:24" x14ac:dyDescent="0.25">
      <c r="X392" s="56"/>
    </row>
    <row r="393" spans="24:24" x14ac:dyDescent="0.25">
      <c r="X393" s="56"/>
    </row>
    <row r="394" spans="24:24" x14ac:dyDescent="0.25">
      <c r="X394" s="56"/>
    </row>
    <row r="395" spans="24:24" x14ac:dyDescent="0.25">
      <c r="X395" s="56"/>
    </row>
    <row r="396" spans="24:24" x14ac:dyDescent="0.25">
      <c r="X396" s="56"/>
    </row>
    <row r="397" spans="24:24" x14ac:dyDescent="0.25">
      <c r="X397" s="56"/>
    </row>
    <row r="398" spans="24:24" x14ac:dyDescent="0.25">
      <c r="X398" s="56"/>
    </row>
    <row r="399" spans="24:24" x14ac:dyDescent="0.25">
      <c r="X399" s="56"/>
    </row>
    <row r="400" spans="24:24" x14ac:dyDescent="0.25">
      <c r="X400" s="56"/>
    </row>
    <row r="401" spans="24:24" x14ac:dyDescent="0.25">
      <c r="X401" s="56"/>
    </row>
    <row r="402" spans="24:24" x14ac:dyDescent="0.25">
      <c r="X402" s="56"/>
    </row>
    <row r="403" spans="24:24" x14ac:dyDescent="0.25">
      <c r="X403" s="56"/>
    </row>
    <row r="404" spans="24:24" x14ac:dyDescent="0.25">
      <c r="X404" s="56"/>
    </row>
    <row r="405" spans="24:24" x14ac:dyDescent="0.25">
      <c r="X405" s="56"/>
    </row>
    <row r="406" spans="24:24" x14ac:dyDescent="0.25">
      <c r="X406" s="56"/>
    </row>
    <row r="407" spans="24:24" x14ac:dyDescent="0.25">
      <c r="X407" s="56"/>
    </row>
    <row r="408" spans="24:24" x14ac:dyDescent="0.25">
      <c r="X408" s="56"/>
    </row>
    <row r="409" spans="24:24" x14ac:dyDescent="0.25">
      <c r="X409" s="56"/>
    </row>
    <row r="410" spans="24:24" x14ac:dyDescent="0.25">
      <c r="X410" s="56"/>
    </row>
    <row r="411" spans="24:24" x14ac:dyDescent="0.25">
      <c r="X411" s="56"/>
    </row>
    <row r="412" spans="24:24" x14ac:dyDescent="0.25">
      <c r="X412" s="56"/>
    </row>
    <row r="413" spans="24:24" x14ac:dyDescent="0.25">
      <c r="X413" s="56"/>
    </row>
    <row r="414" spans="24:24" x14ac:dyDescent="0.25">
      <c r="X414" s="56"/>
    </row>
    <row r="415" spans="24:24" x14ac:dyDescent="0.25">
      <c r="X415" s="56"/>
    </row>
    <row r="416" spans="24:24" x14ac:dyDescent="0.25">
      <c r="X416" s="56"/>
    </row>
    <row r="417" spans="24:24" x14ac:dyDescent="0.25">
      <c r="X417" s="56"/>
    </row>
    <row r="418" spans="24:24" x14ac:dyDescent="0.25">
      <c r="X418" s="56"/>
    </row>
    <row r="419" spans="24:24" x14ac:dyDescent="0.25">
      <c r="X419" s="56"/>
    </row>
    <row r="420" spans="24:24" x14ac:dyDescent="0.25">
      <c r="X420" s="56"/>
    </row>
    <row r="421" spans="24:24" x14ac:dyDescent="0.25">
      <c r="X421" s="56"/>
    </row>
    <row r="422" spans="24:24" x14ac:dyDescent="0.25">
      <c r="X422" s="56"/>
    </row>
    <row r="423" spans="24:24" x14ac:dyDescent="0.25">
      <c r="X423" s="56"/>
    </row>
    <row r="424" spans="24:24" x14ac:dyDescent="0.25">
      <c r="X424" s="56"/>
    </row>
    <row r="425" spans="24:24" x14ac:dyDescent="0.25">
      <c r="X425" s="56"/>
    </row>
    <row r="426" spans="24:24" x14ac:dyDescent="0.25">
      <c r="X426" s="56"/>
    </row>
    <row r="427" spans="24:24" x14ac:dyDescent="0.25">
      <c r="X427" s="56"/>
    </row>
    <row r="428" spans="24:24" x14ac:dyDescent="0.25">
      <c r="X428" s="56"/>
    </row>
    <row r="429" spans="24:24" x14ac:dyDescent="0.25">
      <c r="X429" s="56"/>
    </row>
    <row r="430" spans="24:24" x14ac:dyDescent="0.25">
      <c r="X430" s="56"/>
    </row>
    <row r="431" spans="24:24" x14ac:dyDescent="0.25">
      <c r="X431" s="56"/>
    </row>
    <row r="432" spans="24:24" x14ac:dyDescent="0.25">
      <c r="X432" s="56"/>
    </row>
    <row r="433" spans="24:24" x14ac:dyDescent="0.25">
      <c r="X433" s="56"/>
    </row>
    <row r="434" spans="24:24" x14ac:dyDescent="0.25">
      <c r="X434" s="56"/>
    </row>
    <row r="435" spans="24:24" x14ac:dyDescent="0.25">
      <c r="X435" s="56"/>
    </row>
    <row r="436" spans="24:24" x14ac:dyDescent="0.25">
      <c r="X436" s="56"/>
    </row>
    <row r="437" spans="24:24" x14ac:dyDescent="0.25">
      <c r="X437" s="56"/>
    </row>
    <row r="438" spans="24:24" x14ac:dyDescent="0.25">
      <c r="X438" s="56"/>
    </row>
    <row r="439" spans="24:24" x14ac:dyDescent="0.25">
      <c r="X439" s="56"/>
    </row>
    <row r="440" spans="24:24" x14ac:dyDescent="0.25">
      <c r="X440" s="56"/>
    </row>
    <row r="441" spans="24:24" x14ac:dyDescent="0.25">
      <c r="X441" s="56"/>
    </row>
    <row r="442" spans="24:24" x14ac:dyDescent="0.25">
      <c r="X442" s="56"/>
    </row>
    <row r="443" spans="24:24" x14ac:dyDescent="0.25">
      <c r="X443" s="56"/>
    </row>
    <row r="444" spans="24:24" x14ac:dyDescent="0.25">
      <c r="X444" s="56"/>
    </row>
    <row r="445" spans="24:24" x14ac:dyDescent="0.25">
      <c r="X445" s="56"/>
    </row>
  </sheetData>
  <dataValidations count="9">
    <dataValidation type="list" allowBlank="1" showInputMessage="1" showErrorMessage="1" sqref="D3:D4 D6:D87 D94:D351 D89" xr:uid="{00000000-0002-0000-0100-000000000000}">
      <formula1>"storage, O2 generation, N2 generation, CO2 reduction, CO2 removal, control, monitor, distillation, filtration"</formula1>
    </dataValidation>
    <dataValidation type="list" allowBlank="1" showInputMessage="1" showErrorMessage="1" sqref="C1:C2" xr:uid="{00000000-0002-0000-0100-000001000000}">
      <formula1>"Subsystem,air-ACS,air-THC,air-AR,water-WRM,waste-WM,food-FM,crew-CS"</formula1>
    </dataValidation>
    <dataValidation type="list" allowBlank="1" showInputMessage="1" showErrorMessage="1" sqref="D1:D2" xr:uid="{00000000-0002-0000-0100-000002000000}">
      <formula1>"Type,storage, O2 generation, N2 generation, urine processing, CO2 reduction, CO2 removal, control, monitor, distillation, filtration"</formula1>
    </dataValidation>
    <dataValidation type="list" allowBlank="1" showInputMessage="1" showErrorMessage="1" sqref="D5" xr:uid="{00000000-0002-0000-0100-000003000000}">
      <formula1>"storage, O2 generation, N2 generation, CO2 reduction, urine processing, CO2 removal, control, monitor, distillation, filtration"</formula1>
    </dataValidation>
    <dataValidation type="list" allowBlank="1" showInputMessage="1" showErrorMessage="1" sqref="D88 D90:D93" xr:uid="{00000000-0002-0000-0100-000004000000}">
      <formula1>"storage, O2 generation, N2 generation, urine processing, CO2 reduction, CO2 removal, control, monitor, distillation, filtration"</formula1>
    </dataValidation>
    <dataValidation type="list" allowBlank="1" showInputMessage="1" showErrorMessage="1" sqref="G1:G368" xr:uid="{00000000-0002-0000-0100-000005000000}">
      <formula1>level</formula1>
    </dataValidation>
    <dataValidation type="list" allowBlank="1" showInputMessage="1" showErrorMessage="1" sqref="C3:C366" xr:uid="{00000000-0002-0000-0100-000006000000}">
      <formula1>"air-ACS,air-THC,air-AR,water-WRM,waste-WM,food-FM,crew-CS"</formula1>
    </dataValidation>
    <dataValidation type="list" allowBlank="1" showInputMessage="1" showErrorMessage="1" sqref="E2:E368" xr:uid="{00000000-0002-0000-0100-000007000000}">
      <formula1>"regenerable, non regenerable"</formula1>
    </dataValidation>
    <dataValidation type="whole" allowBlank="1" showInputMessage="1" showErrorMessage="1" sqref="AB3:AB366" xr:uid="{00000000-0002-0000-0100-000008000000}">
      <formula1>0</formula1>
      <formula2>1000000000</formula2>
    </dataValidation>
  </dataValidations>
  <pageMargins left="0.7" right="0.7" top="0.78740157499999996" bottom="0.78740157499999996" header="0.3" footer="0.3"/>
  <pageSetup paperSize="9" orientation="portrait"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9"/>
  <dimension ref="A1:E57"/>
  <sheetViews>
    <sheetView workbookViewId="0">
      <selection activeCell="B4" sqref="B4"/>
    </sheetView>
  </sheetViews>
  <sheetFormatPr defaultColWidth="9.140625" defaultRowHeight="15" x14ac:dyDescent="0.25"/>
  <cols>
    <col min="1" max="1" width="2.5703125" customWidth="1"/>
    <col min="2" max="2" width="17.42578125" customWidth="1"/>
    <col min="3" max="3" width="57.5703125" customWidth="1"/>
    <col min="4" max="4" width="11.5703125" customWidth="1"/>
    <col min="5" max="5" width="2.5703125" customWidth="1"/>
  </cols>
  <sheetData>
    <row r="1" spans="1:5" ht="15.75" thickBot="1" x14ac:dyDescent="0.3">
      <c r="A1" s="37"/>
      <c r="B1" s="37"/>
      <c r="C1" s="37"/>
      <c r="D1" s="37"/>
      <c r="E1" s="37"/>
    </row>
    <row r="2" spans="1:5" ht="32.25" thickBot="1" x14ac:dyDescent="0.3">
      <c r="A2" s="37"/>
      <c r="B2" s="215" t="s">
        <v>864</v>
      </c>
      <c r="C2" s="216" t="s">
        <v>911</v>
      </c>
      <c r="D2" s="152" t="s">
        <v>865</v>
      </c>
      <c r="E2" s="37"/>
    </row>
    <row r="3" spans="1:5" ht="45" x14ac:dyDescent="0.25">
      <c r="A3" s="37"/>
      <c r="B3" s="164" t="s">
        <v>953</v>
      </c>
      <c r="C3" s="148" t="s">
        <v>882</v>
      </c>
      <c r="D3" s="165" t="s">
        <v>68</v>
      </c>
      <c r="E3" s="37"/>
    </row>
    <row r="4" spans="1:5" ht="60" x14ac:dyDescent="0.25">
      <c r="A4" s="37"/>
      <c r="B4" s="153" t="s">
        <v>898</v>
      </c>
      <c r="C4" s="145" t="s">
        <v>897</v>
      </c>
      <c r="D4" s="154" t="s">
        <v>68</v>
      </c>
      <c r="E4" s="37"/>
    </row>
    <row r="5" spans="1:5" ht="45" x14ac:dyDescent="0.25">
      <c r="A5" s="37"/>
      <c r="B5" s="155" t="s">
        <v>957</v>
      </c>
      <c r="C5" s="146" t="s">
        <v>913</v>
      </c>
      <c r="D5" s="156" t="s">
        <v>68</v>
      </c>
      <c r="E5" s="37"/>
    </row>
    <row r="6" spans="1:5" ht="30" x14ac:dyDescent="0.25">
      <c r="A6" s="37"/>
      <c r="B6" s="157" t="s">
        <v>954</v>
      </c>
      <c r="C6" s="147" t="s">
        <v>881</v>
      </c>
      <c r="D6" s="154" t="s">
        <v>68</v>
      </c>
      <c r="E6" s="37"/>
    </row>
    <row r="7" spans="1:5" ht="45" x14ac:dyDescent="0.25">
      <c r="A7" s="37"/>
      <c r="B7" s="158" t="s">
        <v>949</v>
      </c>
      <c r="C7" s="148" t="s">
        <v>884</v>
      </c>
      <c r="D7" s="156" t="s">
        <v>68</v>
      </c>
      <c r="E7" s="37"/>
    </row>
    <row r="8" spans="1:5" ht="75" x14ac:dyDescent="0.25">
      <c r="A8" s="37"/>
      <c r="B8" s="153" t="s">
        <v>955</v>
      </c>
      <c r="C8" s="145" t="s">
        <v>940</v>
      </c>
      <c r="D8" s="154" t="s">
        <v>68</v>
      </c>
      <c r="E8" s="37"/>
    </row>
    <row r="9" spans="1:5" ht="30" x14ac:dyDescent="0.25">
      <c r="A9" s="37"/>
      <c r="B9" s="155" t="s">
        <v>950</v>
      </c>
      <c r="C9" s="146" t="s">
        <v>885</v>
      </c>
      <c r="D9" s="156" t="s">
        <v>68</v>
      </c>
      <c r="E9" s="37"/>
    </row>
    <row r="10" spans="1:5" ht="30" x14ac:dyDescent="0.25">
      <c r="A10" s="37"/>
      <c r="B10" s="159" t="s">
        <v>951</v>
      </c>
      <c r="C10" s="145" t="s">
        <v>886</v>
      </c>
      <c r="D10" s="154" t="s">
        <v>68</v>
      </c>
      <c r="E10" s="37"/>
    </row>
    <row r="11" spans="1:5" ht="45" x14ac:dyDescent="0.25">
      <c r="A11" s="37"/>
      <c r="B11" s="160" t="s">
        <v>866</v>
      </c>
      <c r="C11" s="146" t="s">
        <v>883</v>
      </c>
      <c r="D11" s="156" t="s">
        <v>68</v>
      </c>
      <c r="E11" s="37"/>
    </row>
    <row r="12" spans="1:5" ht="45" x14ac:dyDescent="0.25">
      <c r="A12" s="37"/>
      <c r="B12" s="157" t="s">
        <v>867</v>
      </c>
      <c r="C12" s="145" t="s">
        <v>888</v>
      </c>
      <c r="D12" s="154" t="s">
        <v>68</v>
      </c>
      <c r="E12" s="37"/>
    </row>
    <row r="13" spans="1:5" ht="45" x14ac:dyDescent="0.25">
      <c r="A13" s="37"/>
      <c r="B13" s="160" t="s">
        <v>868</v>
      </c>
      <c r="C13" s="146" t="s">
        <v>887</v>
      </c>
      <c r="D13" s="156" t="s">
        <v>68</v>
      </c>
      <c r="E13" s="37"/>
    </row>
    <row r="14" spans="1:5" ht="45.75" thickBot="1" x14ac:dyDescent="0.3">
      <c r="A14" s="37"/>
      <c r="B14" s="161" t="s">
        <v>869</v>
      </c>
      <c r="C14" s="162" t="s">
        <v>889</v>
      </c>
      <c r="D14" s="163" t="s">
        <v>68</v>
      </c>
      <c r="E14" s="37"/>
    </row>
    <row r="15" spans="1:5" ht="75" x14ac:dyDescent="0.25">
      <c r="A15" s="37"/>
      <c r="B15" s="166" t="s">
        <v>944</v>
      </c>
      <c r="C15" s="167" t="s">
        <v>896</v>
      </c>
      <c r="D15" s="168" t="s">
        <v>128</v>
      </c>
      <c r="E15" s="37"/>
    </row>
    <row r="16" spans="1:5" ht="45" x14ac:dyDescent="0.25">
      <c r="A16" s="37"/>
      <c r="B16" s="169" t="s">
        <v>945</v>
      </c>
      <c r="C16" s="52" t="s">
        <v>901</v>
      </c>
      <c r="D16" s="170" t="s">
        <v>128</v>
      </c>
      <c r="E16" s="37"/>
    </row>
    <row r="17" spans="1:5" ht="30" x14ac:dyDescent="0.25">
      <c r="A17" s="37"/>
      <c r="B17" s="171" t="s">
        <v>890</v>
      </c>
      <c r="C17" s="51" t="s">
        <v>900</v>
      </c>
      <c r="D17" s="172" t="s">
        <v>128</v>
      </c>
      <c r="E17" s="37"/>
    </row>
    <row r="18" spans="1:5" ht="90" x14ac:dyDescent="0.25">
      <c r="A18" s="37"/>
      <c r="B18" s="169" t="s">
        <v>903</v>
      </c>
      <c r="C18" s="52" t="s">
        <v>904</v>
      </c>
      <c r="D18" s="170" t="s">
        <v>128</v>
      </c>
      <c r="E18" s="37"/>
    </row>
    <row r="19" spans="1:5" ht="30" x14ac:dyDescent="0.25">
      <c r="A19" s="37"/>
      <c r="B19" s="173" t="s">
        <v>905</v>
      </c>
      <c r="C19" s="51" t="s">
        <v>906</v>
      </c>
      <c r="D19" s="172" t="s">
        <v>128</v>
      </c>
      <c r="E19" s="37"/>
    </row>
    <row r="20" spans="1:5" ht="45" x14ac:dyDescent="0.25">
      <c r="A20" s="37"/>
      <c r="B20" s="174" t="s">
        <v>891</v>
      </c>
      <c r="C20" s="52" t="s">
        <v>902</v>
      </c>
      <c r="D20" s="170" t="s">
        <v>128</v>
      </c>
      <c r="E20" s="37"/>
    </row>
    <row r="21" spans="1:5" ht="75" x14ac:dyDescent="0.25">
      <c r="A21" s="37"/>
      <c r="B21" s="173" t="s">
        <v>892</v>
      </c>
      <c r="C21" s="51" t="s">
        <v>907</v>
      </c>
      <c r="D21" s="172" t="s">
        <v>128</v>
      </c>
      <c r="E21" s="37"/>
    </row>
    <row r="22" spans="1:5" ht="30" x14ac:dyDescent="0.25">
      <c r="A22" s="37"/>
      <c r="B22" s="174" t="s">
        <v>893</v>
      </c>
      <c r="C22" s="52" t="s">
        <v>908</v>
      </c>
      <c r="D22" s="170" t="s">
        <v>128</v>
      </c>
      <c r="E22" s="37"/>
    </row>
    <row r="23" spans="1:5" ht="30" x14ac:dyDescent="0.25">
      <c r="A23" s="37"/>
      <c r="B23" s="173" t="s">
        <v>862</v>
      </c>
      <c r="C23" s="51" t="s">
        <v>909</v>
      </c>
      <c r="D23" s="172" t="s">
        <v>128</v>
      </c>
      <c r="E23" s="37"/>
    </row>
    <row r="24" spans="1:5" ht="45" x14ac:dyDescent="0.25">
      <c r="A24" s="37"/>
      <c r="B24" s="174" t="s">
        <v>894</v>
      </c>
      <c r="C24" s="52" t="s">
        <v>910</v>
      </c>
      <c r="D24" s="170" t="s">
        <v>128</v>
      </c>
      <c r="E24" s="37"/>
    </row>
    <row r="25" spans="1:5" ht="30" x14ac:dyDescent="0.25">
      <c r="A25" s="37"/>
      <c r="B25" s="173" t="s">
        <v>895</v>
      </c>
      <c r="C25" s="51" t="s">
        <v>912</v>
      </c>
      <c r="D25" s="172" t="s">
        <v>128</v>
      </c>
      <c r="E25" s="37"/>
    </row>
    <row r="26" spans="1:5" ht="45" x14ac:dyDescent="0.25">
      <c r="A26" s="37"/>
      <c r="B26" s="175" t="s">
        <v>870</v>
      </c>
      <c r="C26" s="52" t="s">
        <v>914</v>
      </c>
      <c r="D26" s="170" t="s">
        <v>128</v>
      </c>
      <c r="E26" s="37"/>
    </row>
    <row r="27" spans="1:5" ht="45.75" thickBot="1" x14ac:dyDescent="0.3">
      <c r="A27" s="37"/>
      <c r="B27" s="176" t="s">
        <v>916</v>
      </c>
      <c r="C27" s="177" t="s">
        <v>915</v>
      </c>
      <c r="D27" s="178" t="s">
        <v>128</v>
      </c>
      <c r="E27" s="37"/>
    </row>
    <row r="28" spans="1:5" ht="90" x14ac:dyDescent="0.25">
      <c r="A28" s="37"/>
      <c r="B28" s="179" t="s">
        <v>855</v>
      </c>
      <c r="C28" s="180" t="s">
        <v>994</v>
      </c>
      <c r="D28" s="181" t="s">
        <v>941</v>
      </c>
      <c r="E28" s="37"/>
    </row>
    <row r="29" spans="1:5" x14ac:dyDescent="0.25">
      <c r="A29" s="37"/>
      <c r="B29" s="182" t="s">
        <v>1081</v>
      </c>
      <c r="C29" s="149" t="s">
        <v>1117</v>
      </c>
      <c r="D29" s="183" t="s">
        <v>941</v>
      </c>
      <c r="E29" s="37"/>
    </row>
    <row r="30" spans="1:5" ht="30" x14ac:dyDescent="0.25">
      <c r="A30" s="37"/>
      <c r="B30" s="184" t="s">
        <v>1082</v>
      </c>
      <c r="C30" s="149" t="s">
        <v>1083</v>
      </c>
      <c r="D30" s="183" t="s">
        <v>941</v>
      </c>
      <c r="E30" s="37"/>
    </row>
    <row r="31" spans="1:5" ht="92.25" x14ac:dyDescent="0.25">
      <c r="A31" s="37"/>
      <c r="B31" s="185" t="s">
        <v>946</v>
      </c>
      <c r="C31" s="66" t="s">
        <v>918</v>
      </c>
      <c r="D31" s="186" t="s">
        <v>941</v>
      </c>
      <c r="E31" s="37"/>
    </row>
    <row r="32" spans="1:5" ht="30" x14ac:dyDescent="0.25">
      <c r="A32" s="37"/>
      <c r="B32" s="187" t="s">
        <v>947</v>
      </c>
      <c r="C32" s="149" t="s">
        <v>917</v>
      </c>
      <c r="D32" s="183" t="s">
        <v>941</v>
      </c>
      <c r="E32" s="37"/>
    </row>
    <row r="33" spans="1:5" ht="81.75" x14ac:dyDescent="0.25">
      <c r="A33" s="37"/>
      <c r="B33" s="188" t="s">
        <v>871</v>
      </c>
      <c r="C33" s="149" t="s">
        <v>919</v>
      </c>
      <c r="D33" s="183" t="s">
        <v>941</v>
      </c>
      <c r="E33" s="37"/>
    </row>
    <row r="34" spans="1:5" ht="30" x14ac:dyDescent="0.25">
      <c r="A34" s="37"/>
      <c r="B34" s="189" t="s">
        <v>956</v>
      </c>
      <c r="C34" s="66" t="s">
        <v>917</v>
      </c>
      <c r="D34" s="186" t="s">
        <v>941</v>
      </c>
      <c r="E34" s="37"/>
    </row>
    <row r="35" spans="1:5" ht="60" x14ac:dyDescent="0.25">
      <c r="A35" s="37"/>
      <c r="B35" s="188" t="s">
        <v>863</v>
      </c>
      <c r="C35" s="149" t="s">
        <v>880</v>
      </c>
      <c r="D35" s="183" t="s">
        <v>941</v>
      </c>
      <c r="E35" s="37"/>
    </row>
    <row r="36" spans="1:5" ht="45" x14ac:dyDescent="0.25">
      <c r="A36" s="37"/>
      <c r="B36" s="184" t="s">
        <v>899</v>
      </c>
      <c r="C36" s="149" t="s">
        <v>920</v>
      </c>
      <c r="D36" s="183" t="s">
        <v>941</v>
      </c>
      <c r="E36" s="37"/>
    </row>
    <row r="37" spans="1:5" ht="30" x14ac:dyDescent="0.25">
      <c r="A37" s="37"/>
      <c r="B37" s="190" t="s">
        <v>1466</v>
      </c>
      <c r="C37" s="66" t="s">
        <v>1467</v>
      </c>
      <c r="D37" s="186"/>
      <c r="E37" s="37"/>
    </row>
    <row r="38" spans="1:5" ht="30" x14ac:dyDescent="0.25">
      <c r="A38" s="37"/>
      <c r="B38" s="188" t="s">
        <v>857</v>
      </c>
      <c r="C38" s="149" t="s">
        <v>921</v>
      </c>
      <c r="D38" s="183" t="s">
        <v>941</v>
      </c>
      <c r="E38" s="37"/>
    </row>
    <row r="39" spans="1:5" ht="30.75" thickBot="1" x14ac:dyDescent="0.3">
      <c r="A39" s="37"/>
      <c r="B39" s="191" t="s">
        <v>856</v>
      </c>
      <c r="C39" s="192" t="s">
        <v>932</v>
      </c>
      <c r="D39" s="193" t="s">
        <v>941</v>
      </c>
      <c r="E39" s="37"/>
    </row>
    <row r="40" spans="1:5" ht="60" x14ac:dyDescent="0.25">
      <c r="A40" s="37"/>
      <c r="B40" s="194" t="s">
        <v>872</v>
      </c>
      <c r="C40" s="195" t="s">
        <v>922</v>
      </c>
      <c r="D40" s="196" t="s">
        <v>942</v>
      </c>
      <c r="E40" s="37"/>
    </row>
    <row r="41" spans="1:5" ht="30" x14ac:dyDescent="0.25">
      <c r="A41" s="37"/>
      <c r="B41" s="197" t="s">
        <v>861</v>
      </c>
      <c r="C41" s="151" t="s">
        <v>923</v>
      </c>
      <c r="D41" s="198" t="s">
        <v>942</v>
      </c>
      <c r="E41" s="37"/>
    </row>
    <row r="42" spans="1:5" ht="135" x14ac:dyDescent="0.25">
      <c r="A42" s="37"/>
      <c r="B42" s="199" t="s">
        <v>873</v>
      </c>
      <c r="C42" s="150" t="s">
        <v>924</v>
      </c>
      <c r="D42" s="200" t="s">
        <v>942</v>
      </c>
      <c r="E42" s="37"/>
    </row>
    <row r="43" spans="1:5" ht="30" x14ac:dyDescent="0.25">
      <c r="A43" s="37"/>
      <c r="B43" s="199" t="s">
        <v>874</v>
      </c>
      <c r="C43" s="150" t="s">
        <v>925</v>
      </c>
      <c r="D43" s="200" t="s">
        <v>942</v>
      </c>
      <c r="E43" s="37"/>
    </row>
    <row r="44" spans="1:5" ht="30" x14ac:dyDescent="0.25">
      <c r="A44" s="37"/>
      <c r="B44" s="199" t="s">
        <v>875</v>
      </c>
      <c r="C44" s="150" t="s">
        <v>926</v>
      </c>
      <c r="D44" s="200" t="s">
        <v>942</v>
      </c>
      <c r="E44" s="37"/>
    </row>
    <row r="45" spans="1:5" ht="30" x14ac:dyDescent="0.25">
      <c r="A45" s="37"/>
      <c r="B45" s="201" t="s">
        <v>876</v>
      </c>
      <c r="C45" s="151" t="s">
        <v>927</v>
      </c>
      <c r="D45" s="198" t="s">
        <v>942</v>
      </c>
      <c r="E45" s="37"/>
    </row>
    <row r="46" spans="1:5" ht="30" x14ac:dyDescent="0.25">
      <c r="A46" s="37"/>
      <c r="B46" s="199" t="s">
        <v>858</v>
      </c>
      <c r="C46" s="150" t="s">
        <v>928</v>
      </c>
      <c r="D46" s="200" t="s">
        <v>942</v>
      </c>
      <c r="E46" s="37"/>
    </row>
    <row r="47" spans="1:5" ht="30" x14ac:dyDescent="0.25">
      <c r="A47" s="37"/>
      <c r="B47" s="201" t="s">
        <v>859</v>
      </c>
      <c r="C47" s="151" t="s">
        <v>929</v>
      </c>
      <c r="D47" s="198" t="s">
        <v>942</v>
      </c>
      <c r="E47" s="37"/>
    </row>
    <row r="48" spans="1:5" ht="30" x14ac:dyDescent="0.25">
      <c r="A48" s="37"/>
      <c r="B48" s="318" t="s">
        <v>860</v>
      </c>
      <c r="C48" s="150" t="s">
        <v>930</v>
      </c>
      <c r="D48" s="319" t="s">
        <v>942</v>
      </c>
      <c r="E48" s="37"/>
    </row>
    <row r="49" spans="1:5" ht="45.75" thickBot="1" x14ac:dyDescent="0.3">
      <c r="A49" s="37"/>
      <c r="B49" s="315" t="s">
        <v>1464</v>
      </c>
      <c r="C49" s="316" t="s">
        <v>1465</v>
      </c>
      <c r="D49" s="317" t="s">
        <v>942</v>
      </c>
      <c r="E49" s="37"/>
    </row>
    <row r="50" spans="1:5" ht="45" x14ac:dyDescent="0.25">
      <c r="A50" s="37"/>
      <c r="B50" s="205" t="s">
        <v>877</v>
      </c>
      <c r="C50" s="206" t="s">
        <v>931</v>
      </c>
      <c r="D50" s="207" t="s">
        <v>943</v>
      </c>
      <c r="E50" s="37"/>
    </row>
    <row r="51" spans="1:5" ht="45" x14ac:dyDescent="0.25">
      <c r="A51" s="37"/>
      <c r="B51" s="208" t="s">
        <v>916</v>
      </c>
      <c r="C51" s="53" t="s">
        <v>933</v>
      </c>
      <c r="D51" s="209" t="s">
        <v>943</v>
      </c>
      <c r="E51" s="37"/>
    </row>
    <row r="52" spans="1:5" ht="45" x14ac:dyDescent="0.25">
      <c r="A52" s="37"/>
      <c r="B52" s="210" t="s">
        <v>878</v>
      </c>
      <c r="C52" s="54" t="s">
        <v>934</v>
      </c>
      <c r="D52" s="211" t="s">
        <v>943</v>
      </c>
      <c r="E52" s="37"/>
    </row>
    <row r="53" spans="1:5" ht="45" x14ac:dyDescent="0.25">
      <c r="A53" s="37"/>
      <c r="B53" s="208" t="s">
        <v>936</v>
      </c>
      <c r="C53" s="53" t="s">
        <v>935</v>
      </c>
      <c r="D53" s="209" t="s">
        <v>943</v>
      </c>
      <c r="E53" s="37"/>
    </row>
    <row r="54" spans="1:5" ht="45" x14ac:dyDescent="0.25">
      <c r="A54" s="37"/>
      <c r="B54" s="210" t="s">
        <v>937</v>
      </c>
      <c r="C54" s="54" t="s">
        <v>938</v>
      </c>
      <c r="D54" s="211" t="s">
        <v>943</v>
      </c>
      <c r="E54" s="37"/>
    </row>
    <row r="55" spans="1:5" ht="45.75" thickBot="1" x14ac:dyDescent="0.3">
      <c r="A55" s="37"/>
      <c r="B55" s="212" t="s">
        <v>879</v>
      </c>
      <c r="C55" s="213" t="s">
        <v>939</v>
      </c>
      <c r="D55" s="214" t="s">
        <v>943</v>
      </c>
      <c r="E55" s="37"/>
    </row>
    <row r="56" spans="1:5" ht="15.75" thickBot="1" x14ac:dyDescent="0.3">
      <c r="A56" s="37"/>
      <c r="B56" s="322" t="s">
        <v>1522</v>
      </c>
      <c r="C56" s="324" t="s">
        <v>1523</v>
      </c>
      <c r="D56" s="323" t="s">
        <v>1524</v>
      </c>
      <c r="E56" s="37"/>
    </row>
    <row r="57" spans="1:5" x14ac:dyDescent="0.25">
      <c r="A57" s="37"/>
      <c r="B57" s="37"/>
      <c r="C57" s="37"/>
      <c r="D57" s="37"/>
      <c r="E57" s="37"/>
    </row>
  </sheetData>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34F7A4-78F0-458C-B686-F7E6A32EE91D}">
  <sheetPr codeName="Foglio1"/>
  <dimension ref="A2:AI26"/>
  <sheetViews>
    <sheetView zoomScale="60" zoomScaleNormal="60" workbookViewId="0">
      <selection activeCell="K2" sqref="K2"/>
    </sheetView>
  </sheetViews>
  <sheetFormatPr defaultColWidth="19.28515625" defaultRowHeight="15" x14ac:dyDescent="0.25"/>
  <cols>
    <col min="1" max="1" width="19.140625" bestFit="1" customWidth="1"/>
    <col min="2" max="2" width="24.7109375" bestFit="1" customWidth="1"/>
    <col min="3" max="3" width="23" bestFit="1" customWidth="1"/>
    <col min="4" max="4" width="27.7109375" bestFit="1" customWidth="1"/>
    <col min="5" max="5" width="21.28515625" bestFit="1" customWidth="1"/>
    <col min="6" max="6" width="22" bestFit="1" customWidth="1"/>
    <col min="7" max="7" width="24" bestFit="1" customWidth="1"/>
    <col min="8" max="8" width="30.5703125" bestFit="1" customWidth="1"/>
    <col min="9" max="9" width="24" bestFit="1" customWidth="1"/>
    <col min="11" max="11" width="29.140625" customWidth="1"/>
    <col min="12" max="12" width="17.5703125" bestFit="1" customWidth="1"/>
    <col min="13" max="13" width="14.85546875" customWidth="1"/>
    <col min="14" max="14" width="14.140625" bestFit="1" customWidth="1"/>
    <col min="15" max="15" width="14.7109375" bestFit="1" customWidth="1"/>
    <col min="16" max="16" width="18" bestFit="1" customWidth="1"/>
    <col min="17" max="17" width="22.28515625" bestFit="1" customWidth="1"/>
    <col min="18" max="18" width="16.140625" bestFit="1" customWidth="1"/>
    <col min="19" max="19" width="14.140625" bestFit="1" customWidth="1"/>
    <col min="20" max="20" width="11.85546875" bestFit="1" customWidth="1"/>
    <col min="21" max="22" width="15.5703125" bestFit="1" customWidth="1"/>
    <col min="23" max="23" width="15.42578125" bestFit="1" customWidth="1"/>
    <col min="24" max="24" width="18.28515625" bestFit="1" customWidth="1"/>
    <col min="25" max="25" width="12.5703125" bestFit="1" customWidth="1"/>
    <col min="26" max="26" width="20.140625" bestFit="1" customWidth="1"/>
    <col min="27" max="27" width="17.28515625" bestFit="1" customWidth="1"/>
    <col min="28" max="28" width="16.5703125" bestFit="1" customWidth="1"/>
    <col min="29" max="29" width="19.7109375" bestFit="1" customWidth="1"/>
    <col min="30" max="30" width="23.7109375" bestFit="1" customWidth="1"/>
    <col min="31" max="31" width="16.5703125" bestFit="1" customWidth="1"/>
    <col min="32" max="32" width="14.42578125" bestFit="1" customWidth="1"/>
    <col min="33" max="33" width="23.28515625" bestFit="1" customWidth="1"/>
    <col min="34" max="34" width="14.140625" bestFit="1" customWidth="1"/>
    <col min="35" max="35" width="19.140625" bestFit="1" customWidth="1"/>
  </cols>
  <sheetData>
    <row r="2" spans="1:35" ht="45" x14ac:dyDescent="0.25">
      <c r="A2" t="s">
        <v>2032</v>
      </c>
      <c r="B2" t="s">
        <v>2033</v>
      </c>
      <c r="C2" t="s">
        <v>2034</v>
      </c>
      <c r="D2" t="s">
        <v>2035</v>
      </c>
      <c r="E2" t="s">
        <v>2036</v>
      </c>
      <c r="F2" t="s">
        <v>2037</v>
      </c>
      <c r="G2" t="s">
        <v>2038</v>
      </c>
      <c r="H2" t="s">
        <v>2039</v>
      </c>
      <c r="I2" t="s">
        <v>2040</v>
      </c>
      <c r="K2" s="771" t="s">
        <v>2207</v>
      </c>
      <c r="L2" s="777" t="s">
        <v>2041</v>
      </c>
      <c r="M2" s="776" t="s">
        <v>2165</v>
      </c>
      <c r="N2" s="777" t="s">
        <v>2167</v>
      </c>
      <c r="O2" s="776" t="s">
        <v>2061</v>
      </c>
      <c r="P2" s="777" t="s">
        <v>2067</v>
      </c>
      <c r="Q2" s="776" t="s">
        <v>2171</v>
      </c>
      <c r="R2" s="777" t="s">
        <v>2175</v>
      </c>
      <c r="S2" s="776" t="s">
        <v>2082</v>
      </c>
      <c r="T2" s="777" t="s">
        <v>2179</v>
      </c>
      <c r="U2" s="776" t="s">
        <v>2182</v>
      </c>
      <c r="V2" s="777" t="s">
        <v>2183</v>
      </c>
      <c r="W2" s="776" t="s">
        <v>2186</v>
      </c>
      <c r="X2" s="777" t="s">
        <v>2188</v>
      </c>
      <c r="Y2" s="776" t="s">
        <v>2189</v>
      </c>
      <c r="Z2" s="777" t="s">
        <v>2190</v>
      </c>
      <c r="AA2" s="776" t="s">
        <v>2193</v>
      </c>
      <c r="AB2" s="777" t="s">
        <v>2195</v>
      </c>
      <c r="AC2" s="776" t="s">
        <v>2197</v>
      </c>
      <c r="AD2" s="777" t="s">
        <v>2199</v>
      </c>
      <c r="AE2" s="776" t="s">
        <v>2201</v>
      </c>
      <c r="AF2" s="777" t="s">
        <v>2202</v>
      </c>
      <c r="AG2" s="776" t="s">
        <v>2203</v>
      </c>
      <c r="AH2" s="777" t="s">
        <v>2204</v>
      </c>
      <c r="AI2" s="784" t="s">
        <v>2205</v>
      </c>
    </row>
    <row r="3" spans="1:35" x14ac:dyDescent="0.25">
      <c r="A3" t="s">
        <v>2041</v>
      </c>
      <c r="B3" s="770" t="s">
        <v>2042</v>
      </c>
      <c r="C3" s="770" t="s">
        <v>2043</v>
      </c>
      <c r="D3" s="770" t="s">
        <v>2044</v>
      </c>
      <c r="E3" s="770" t="s">
        <v>2045</v>
      </c>
      <c r="F3" s="770" t="s">
        <v>2046</v>
      </c>
      <c r="G3" s="770" t="s">
        <v>2047</v>
      </c>
      <c r="H3" s="770">
        <v>92</v>
      </c>
      <c r="I3" s="770">
        <v>1030</v>
      </c>
      <c r="K3" s="771" t="s">
        <v>2159</v>
      </c>
      <c r="L3" s="778" t="s">
        <v>2163</v>
      </c>
      <c r="M3" s="774">
        <v>14094</v>
      </c>
      <c r="N3" s="778">
        <v>0</v>
      </c>
      <c r="O3" s="772" t="s">
        <v>2168</v>
      </c>
      <c r="P3" s="780">
        <v>30823</v>
      </c>
      <c r="Q3" s="774">
        <v>10959</v>
      </c>
      <c r="R3" s="778" t="s">
        <v>2176</v>
      </c>
      <c r="S3" s="772">
        <v>0</v>
      </c>
      <c r="T3" s="778" t="s">
        <v>2180</v>
      </c>
      <c r="U3" s="772">
        <v>0</v>
      </c>
      <c r="V3" s="778" t="s">
        <v>2184</v>
      </c>
      <c r="W3" s="772">
        <v>0</v>
      </c>
      <c r="X3" s="778">
        <v>0</v>
      </c>
      <c r="Y3" s="772">
        <v>0</v>
      </c>
      <c r="Z3" s="778" t="s">
        <v>2191</v>
      </c>
      <c r="AA3" s="772">
        <v>0</v>
      </c>
      <c r="AB3" s="780">
        <v>14437</v>
      </c>
      <c r="AC3" s="772">
        <v>0</v>
      </c>
      <c r="AD3" s="780">
        <v>9168</v>
      </c>
      <c r="AE3" s="774">
        <v>31851</v>
      </c>
      <c r="AF3" s="780">
        <v>25499</v>
      </c>
      <c r="AG3" s="774">
        <v>4252</v>
      </c>
      <c r="AH3" s="778">
        <v>0</v>
      </c>
      <c r="AI3" s="785">
        <v>0</v>
      </c>
    </row>
    <row r="4" spans="1:35" x14ac:dyDescent="0.25">
      <c r="A4" t="s">
        <v>2048</v>
      </c>
      <c r="B4" s="770" t="s">
        <v>2049</v>
      </c>
      <c r="C4" s="770" t="s">
        <v>2050</v>
      </c>
      <c r="D4" s="770" t="s">
        <v>2051</v>
      </c>
      <c r="E4" s="770" t="s">
        <v>2052</v>
      </c>
      <c r="F4" s="770" t="s">
        <v>2053</v>
      </c>
      <c r="G4" s="770" t="s">
        <v>2054</v>
      </c>
      <c r="H4" s="770">
        <v>88</v>
      </c>
      <c r="I4" s="770">
        <v>1730</v>
      </c>
      <c r="K4" s="771" t="s">
        <v>2160</v>
      </c>
      <c r="L4" s="778" t="s">
        <v>2164</v>
      </c>
      <c r="M4" s="772" t="s">
        <v>2166</v>
      </c>
      <c r="N4" s="778">
        <v>0</v>
      </c>
      <c r="O4" s="772" t="s">
        <v>2169</v>
      </c>
      <c r="P4" s="778" t="s">
        <v>2170</v>
      </c>
      <c r="Q4" s="772" t="s">
        <v>2172</v>
      </c>
      <c r="R4" s="778" t="s">
        <v>2177</v>
      </c>
      <c r="S4" s="772">
        <v>0</v>
      </c>
      <c r="T4" s="778" t="s">
        <v>2181</v>
      </c>
      <c r="U4" s="772">
        <v>0</v>
      </c>
      <c r="V4" s="778" t="s">
        <v>2185</v>
      </c>
      <c r="W4" s="772">
        <v>0</v>
      </c>
      <c r="X4" s="778">
        <v>0</v>
      </c>
      <c r="Y4" s="772">
        <v>0</v>
      </c>
      <c r="Z4" s="778" t="s">
        <v>2192</v>
      </c>
      <c r="AA4" s="772">
        <v>0</v>
      </c>
      <c r="AB4" s="778" t="s">
        <v>2196</v>
      </c>
      <c r="AC4" s="772">
        <v>0</v>
      </c>
      <c r="AD4" s="778" t="s">
        <v>2200</v>
      </c>
      <c r="AE4" s="774">
        <v>1209</v>
      </c>
      <c r="AF4" s="780">
        <v>9679</v>
      </c>
      <c r="AG4" s="774">
        <v>1614</v>
      </c>
      <c r="AH4" s="778">
        <v>0</v>
      </c>
      <c r="AI4" s="785">
        <v>0</v>
      </c>
    </row>
    <row r="5" spans="1:35" x14ac:dyDescent="0.25">
      <c r="A5" t="s">
        <v>2055</v>
      </c>
      <c r="B5" s="770" t="s">
        <v>2056</v>
      </c>
      <c r="C5" s="770" t="s">
        <v>2057</v>
      </c>
      <c r="D5" s="770" t="s">
        <v>2058</v>
      </c>
      <c r="E5" s="770" t="s">
        <v>2052</v>
      </c>
      <c r="F5" s="770" t="s">
        <v>2059</v>
      </c>
      <c r="G5" s="770" t="s">
        <v>2060</v>
      </c>
      <c r="H5" s="770">
        <v>92</v>
      </c>
      <c r="I5" s="770">
        <v>790</v>
      </c>
      <c r="K5" s="771" t="s">
        <v>2161</v>
      </c>
      <c r="L5" s="778">
        <v>0</v>
      </c>
      <c r="M5" s="774">
        <v>19981</v>
      </c>
      <c r="N5" s="778">
        <v>0</v>
      </c>
      <c r="O5" s="772">
        <v>0</v>
      </c>
      <c r="P5" s="778">
        <v>0</v>
      </c>
      <c r="Q5" s="772" t="s">
        <v>2173</v>
      </c>
      <c r="R5" s="780">
        <v>43478</v>
      </c>
      <c r="S5" s="772">
        <v>0</v>
      </c>
      <c r="T5" s="778">
        <v>0</v>
      </c>
      <c r="U5" s="772">
        <v>0</v>
      </c>
      <c r="V5" s="778">
        <v>0</v>
      </c>
      <c r="W5" s="772">
        <v>0</v>
      </c>
      <c r="X5" s="778">
        <v>0</v>
      </c>
      <c r="Y5" s="772">
        <v>0</v>
      </c>
      <c r="Z5" s="780">
        <v>15185</v>
      </c>
      <c r="AA5" s="774">
        <v>44757</v>
      </c>
      <c r="AB5" s="778">
        <v>0</v>
      </c>
      <c r="AC5" s="772" t="s">
        <v>2198</v>
      </c>
      <c r="AD5" s="778">
        <v>0</v>
      </c>
      <c r="AE5" s="772">
        <v>0</v>
      </c>
      <c r="AF5" s="780">
        <v>31969</v>
      </c>
      <c r="AG5" s="772">
        <v>0</v>
      </c>
      <c r="AH5" s="780">
        <v>79922</v>
      </c>
      <c r="AI5" s="785" t="s">
        <v>2206</v>
      </c>
    </row>
    <row r="6" spans="1:35" x14ac:dyDescent="0.25">
      <c r="A6" t="s">
        <v>2061</v>
      </c>
      <c r="B6" s="770" t="s">
        <v>2056</v>
      </c>
      <c r="C6" s="770" t="s">
        <v>2062</v>
      </c>
      <c r="D6" s="770" t="s">
        <v>2063</v>
      </c>
      <c r="E6" s="770" t="s">
        <v>2064</v>
      </c>
      <c r="F6" s="770" t="s">
        <v>2065</v>
      </c>
      <c r="G6" s="770" t="s">
        <v>2066</v>
      </c>
      <c r="H6" s="770">
        <v>90</v>
      </c>
      <c r="I6" s="770">
        <v>570</v>
      </c>
      <c r="K6" s="783" t="s">
        <v>1537</v>
      </c>
      <c r="L6" s="779">
        <v>0</v>
      </c>
      <c r="M6" s="775">
        <v>13476</v>
      </c>
      <c r="N6" s="779">
        <v>0</v>
      </c>
      <c r="O6" s="773">
        <v>0</v>
      </c>
      <c r="P6" s="781">
        <v>48423</v>
      </c>
      <c r="Q6" s="773" t="s">
        <v>2174</v>
      </c>
      <c r="R6" s="779" t="s">
        <v>2178</v>
      </c>
      <c r="S6" s="773">
        <v>0</v>
      </c>
      <c r="T6" s="779">
        <v>0</v>
      </c>
      <c r="U6" s="775">
        <v>12149</v>
      </c>
      <c r="V6" s="779">
        <v>0</v>
      </c>
      <c r="W6" s="773" t="s">
        <v>2187</v>
      </c>
      <c r="X6" s="779">
        <v>0</v>
      </c>
      <c r="Y6" s="775">
        <v>52245</v>
      </c>
      <c r="Z6" s="779">
        <v>0</v>
      </c>
      <c r="AA6" s="773" t="s">
        <v>2194</v>
      </c>
      <c r="AB6" s="781">
        <v>15965</v>
      </c>
      <c r="AC6" s="773">
        <v>0</v>
      </c>
      <c r="AD6" s="781">
        <v>37336</v>
      </c>
      <c r="AE6" s="775">
        <v>41283</v>
      </c>
      <c r="AF6" s="781">
        <v>10653</v>
      </c>
      <c r="AG6" s="775">
        <v>24991</v>
      </c>
      <c r="AH6" s="779">
        <v>0</v>
      </c>
      <c r="AI6" s="786">
        <v>0</v>
      </c>
    </row>
    <row r="7" spans="1:35" x14ac:dyDescent="0.25">
      <c r="A7" t="s">
        <v>2067</v>
      </c>
      <c r="B7" s="770" t="s">
        <v>2056</v>
      </c>
      <c r="C7" s="770" t="s">
        <v>2068</v>
      </c>
      <c r="D7" s="770" t="s">
        <v>2069</v>
      </c>
      <c r="E7" s="770" t="s">
        <v>2070</v>
      </c>
      <c r="F7" s="770" t="s">
        <v>2071</v>
      </c>
      <c r="G7" s="770">
        <v>150</v>
      </c>
      <c r="H7" s="770">
        <v>10</v>
      </c>
      <c r="I7" s="770">
        <v>13930</v>
      </c>
      <c r="K7" s="782" t="s">
        <v>2162</v>
      </c>
      <c r="L7" s="787">
        <v>0</v>
      </c>
      <c r="M7" s="788">
        <v>0</v>
      </c>
      <c r="N7" s="787">
        <v>0</v>
      </c>
      <c r="O7" s="788">
        <v>0</v>
      </c>
      <c r="P7" s="787">
        <v>10</v>
      </c>
      <c r="Q7" s="788">
        <v>0</v>
      </c>
      <c r="R7" s="787">
        <v>2</v>
      </c>
      <c r="S7" s="788">
        <v>0</v>
      </c>
      <c r="T7" s="787">
        <v>0</v>
      </c>
      <c r="U7" s="788">
        <v>10</v>
      </c>
      <c r="V7" s="787">
        <v>0</v>
      </c>
      <c r="W7" s="788">
        <v>0</v>
      </c>
      <c r="X7" s="787">
        <v>0</v>
      </c>
      <c r="Y7" s="788">
        <v>2</v>
      </c>
      <c r="Z7" s="787">
        <v>0</v>
      </c>
      <c r="AA7" s="788">
        <v>0</v>
      </c>
      <c r="AB7" s="787">
        <v>0</v>
      </c>
      <c r="AC7" s="788">
        <v>0</v>
      </c>
      <c r="AD7" s="787">
        <v>2</v>
      </c>
      <c r="AE7" s="788">
        <v>5</v>
      </c>
      <c r="AF7" s="787">
        <v>18</v>
      </c>
      <c r="AG7" s="788">
        <v>8</v>
      </c>
      <c r="AH7" s="787">
        <v>0</v>
      </c>
      <c r="AI7" s="789">
        <v>0</v>
      </c>
    </row>
    <row r="8" spans="1:35" x14ac:dyDescent="0.25">
      <c r="A8" t="s">
        <v>2072</v>
      </c>
      <c r="B8" s="770" t="s">
        <v>2056</v>
      </c>
      <c r="C8" s="770" t="s">
        <v>2073</v>
      </c>
      <c r="D8" s="770" t="s">
        <v>2074</v>
      </c>
      <c r="E8" s="770" t="s">
        <v>2075</v>
      </c>
      <c r="F8" s="770" t="s">
        <v>2076</v>
      </c>
      <c r="G8" s="770">
        <v>10</v>
      </c>
      <c r="H8" s="770">
        <v>89</v>
      </c>
      <c r="I8" s="770">
        <v>1120</v>
      </c>
    </row>
    <row r="9" spans="1:35" x14ac:dyDescent="0.25">
      <c r="A9" t="s">
        <v>2077</v>
      </c>
      <c r="B9" s="770" t="s">
        <v>2056</v>
      </c>
      <c r="C9" s="770" t="s">
        <v>2078</v>
      </c>
      <c r="D9" s="770" t="s">
        <v>2079</v>
      </c>
      <c r="E9" s="770" t="s">
        <v>2052</v>
      </c>
      <c r="F9" s="770" t="s">
        <v>2080</v>
      </c>
      <c r="G9" s="770" t="s">
        <v>2081</v>
      </c>
      <c r="H9" s="770">
        <v>95</v>
      </c>
      <c r="I9" s="770">
        <v>620</v>
      </c>
    </row>
    <row r="10" spans="1:35" x14ac:dyDescent="0.25">
      <c r="A10" t="s">
        <v>2082</v>
      </c>
      <c r="B10" s="770" t="s">
        <v>2056</v>
      </c>
      <c r="C10" s="770">
        <v>12</v>
      </c>
      <c r="D10" s="770" t="s">
        <v>2083</v>
      </c>
      <c r="E10" s="770" t="s">
        <v>2075</v>
      </c>
      <c r="F10" s="770" t="s">
        <v>2076</v>
      </c>
      <c r="G10" s="770" t="s">
        <v>2051</v>
      </c>
      <c r="H10" s="770">
        <v>89</v>
      </c>
      <c r="I10" s="770">
        <v>1660</v>
      </c>
    </row>
    <row r="11" spans="1:35" x14ac:dyDescent="0.25">
      <c r="A11" t="s">
        <v>2084</v>
      </c>
      <c r="B11" s="770" t="s">
        <v>2056</v>
      </c>
      <c r="C11" s="770" t="s">
        <v>2085</v>
      </c>
      <c r="D11" s="770" t="s">
        <v>2086</v>
      </c>
      <c r="E11" s="770" t="s">
        <v>2087</v>
      </c>
      <c r="F11" s="770" t="s">
        <v>2088</v>
      </c>
      <c r="G11" s="770">
        <v>161</v>
      </c>
      <c r="H11" s="770">
        <v>12</v>
      </c>
      <c r="I11" s="770">
        <v>3390</v>
      </c>
    </row>
    <row r="12" spans="1:35" x14ac:dyDescent="0.25">
      <c r="A12" t="s">
        <v>2089</v>
      </c>
      <c r="B12" s="770" t="s">
        <v>2090</v>
      </c>
      <c r="C12" s="770" t="s">
        <v>2091</v>
      </c>
      <c r="D12" s="770" t="s">
        <v>2092</v>
      </c>
      <c r="E12" s="770" t="s">
        <v>2093</v>
      </c>
      <c r="F12" s="770" t="s">
        <v>2094</v>
      </c>
      <c r="G12" s="770" t="s">
        <v>2095</v>
      </c>
      <c r="H12" s="770" t="s">
        <v>2096</v>
      </c>
      <c r="I12" s="770">
        <v>23740</v>
      </c>
    </row>
    <row r="13" spans="1:35" x14ac:dyDescent="0.25">
      <c r="A13" t="s">
        <v>2097</v>
      </c>
      <c r="B13" s="770" t="s">
        <v>2056</v>
      </c>
      <c r="C13" s="770" t="s">
        <v>2098</v>
      </c>
      <c r="D13" s="770" t="s">
        <v>2099</v>
      </c>
      <c r="E13" s="770" t="s">
        <v>2093</v>
      </c>
      <c r="F13" s="770" t="s">
        <v>2100</v>
      </c>
      <c r="G13" s="770" t="s">
        <v>2101</v>
      </c>
      <c r="H13" s="770">
        <v>93</v>
      </c>
      <c r="I13" s="770">
        <v>836</v>
      </c>
    </row>
    <row r="14" spans="1:35" x14ac:dyDescent="0.25">
      <c r="A14" t="s">
        <v>2102</v>
      </c>
      <c r="B14" s="770" t="s">
        <v>2056</v>
      </c>
      <c r="C14" s="770" t="s">
        <v>2103</v>
      </c>
      <c r="D14" s="770" t="s">
        <v>2104</v>
      </c>
      <c r="E14" s="770" t="s">
        <v>2052</v>
      </c>
      <c r="F14" s="770" t="s">
        <v>2105</v>
      </c>
      <c r="G14" s="770">
        <v>55</v>
      </c>
      <c r="H14" s="770">
        <v>94</v>
      </c>
      <c r="I14" s="770">
        <v>670</v>
      </c>
    </row>
    <row r="15" spans="1:35" x14ac:dyDescent="0.25">
      <c r="A15" t="s">
        <v>2106</v>
      </c>
      <c r="B15" s="770" t="s">
        <v>2049</v>
      </c>
      <c r="C15" s="770" t="s">
        <v>2107</v>
      </c>
      <c r="D15" s="770" t="s">
        <v>2108</v>
      </c>
      <c r="E15" s="770" t="s">
        <v>2052</v>
      </c>
      <c r="F15" s="770" t="s">
        <v>2109</v>
      </c>
      <c r="G15" s="770">
        <v>35</v>
      </c>
      <c r="H15" s="770">
        <v>80</v>
      </c>
      <c r="I15" s="770">
        <v>3723</v>
      </c>
    </row>
    <row r="16" spans="1:35" x14ac:dyDescent="0.25">
      <c r="A16" t="s">
        <v>2110</v>
      </c>
      <c r="B16" s="770" t="s">
        <v>2111</v>
      </c>
      <c r="C16" s="770" t="s">
        <v>2112</v>
      </c>
      <c r="D16" s="770" t="s">
        <v>2113</v>
      </c>
      <c r="E16" s="770" t="s">
        <v>2114</v>
      </c>
      <c r="F16" s="770" t="s">
        <v>2115</v>
      </c>
      <c r="G16" s="770" t="s">
        <v>2116</v>
      </c>
      <c r="H16" s="770">
        <v>12</v>
      </c>
      <c r="I16" s="770">
        <v>14940</v>
      </c>
    </row>
    <row r="17" spans="1:9" x14ac:dyDescent="0.25">
      <c r="A17" t="s">
        <v>2117</v>
      </c>
      <c r="B17" s="770" t="s">
        <v>2056</v>
      </c>
      <c r="C17" s="770" t="s">
        <v>2118</v>
      </c>
      <c r="D17" s="770" t="s">
        <v>2119</v>
      </c>
      <c r="E17" s="770" t="s">
        <v>2087</v>
      </c>
      <c r="F17" s="770" t="s">
        <v>2120</v>
      </c>
      <c r="G17" s="770" t="s">
        <v>2121</v>
      </c>
      <c r="H17" s="770">
        <v>92</v>
      </c>
      <c r="I17" s="770">
        <v>1310</v>
      </c>
    </row>
    <row r="18" spans="1:9" x14ac:dyDescent="0.25">
      <c r="A18" t="s">
        <v>2122</v>
      </c>
      <c r="B18" s="770" t="s">
        <v>2123</v>
      </c>
      <c r="C18" s="770" t="s">
        <v>2124</v>
      </c>
      <c r="D18" s="770" t="s">
        <v>2125</v>
      </c>
      <c r="E18" s="770" t="s">
        <v>2126</v>
      </c>
      <c r="F18" s="770" t="s">
        <v>2127</v>
      </c>
      <c r="G18" s="770" t="s">
        <v>2128</v>
      </c>
      <c r="H18" s="770">
        <v>10</v>
      </c>
      <c r="I18" s="770">
        <v>6140</v>
      </c>
    </row>
    <row r="19" spans="1:9" x14ac:dyDescent="0.25">
      <c r="A19" t="s">
        <v>2129</v>
      </c>
      <c r="B19" s="770" t="s">
        <v>2056</v>
      </c>
      <c r="C19" s="770" t="s">
        <v>2078</v>
      </c>
      <c r="D19" s="770" t="s">
        <v>2079</v>
      </c>
      <c r="E19" s="770" t="s">
        <v>2052</v>
      </c>
      <c r="F19" s="770" t="s">
        <v>2130</v>
      </c>
      <c r="G19" s="770" t="s">
        <v>2081</v>
      </c>
      <c r="H19" s="770">
        <v>91</v>
      </c>
      <c r="I19" s="770">
        <v>970</v>
      </c>
    </row>
    <row r="20" spans="1:9" x14ac:dyDescent="0.25">
      <c r="A20" t="s">
        <v>2131</v>
      </c>
      <c r="B20" s="770" t="s">
        <v>2132</v>
      </c>
      <c r="C20" s="770" t="s">
        <v>2133</v>
      </c>
      <c r="D20" s="770" t="s">
        <v>2134</v>
      </c>
      <c r="E20" s="770" t="s">
        <v>2135</v>
      </c>
      <c r="F20" s="770" t="s">
        <v>2136</v>
      </c>
      <c r="G20" s="770" t="s">
        <v>2137</v>
      </c>
      <c r="H20" s="770">
        <v>90</v>
      </c>
      <c r="I20" s="770">
        <v>1360</v>
      </c>
    </row>
    <row r="21" spans="1:9" x14ac:dyDescent="0.25">
      <c r="A21" t="s">
        <v>2138</v>
      </c>
      <c r="B21" s="770" t="s">
        <v>2049</v>
      </c>
      <c r="C21" s="770" t="s">
        <v>2139</v>
      </c>
      <c r="D21" s="770" t="s">
        <v>2140</v>
      </c>
      <c r="E21" s="770" t="s">
        <v>2126</v>
      </c>
      <c r="F21" s="770" t="s">
        <v>2141</v>
      </c>
      <c r="G21" s="770">
        <v>225</v>
      </c>
      <c r="H21" s="770">
        <v>71</v>
      </c>
      <c r="I21" s="770">
        <v>3590</v>
      </c>
    </row>
    <row r="22" spans="1:9" x14ac:dyDescent="0.25">
      <c r="A22" t="s">
        <v>2142</v>
      </c>
      <c r="B22" s="770" t="s">
        <v>2132</v>
      </c>
      <c r="C22" s="770" t="s">
        <v>2143</v>
      </c>
      <c r="D22" s="770" t="s">
        <v>2144</v>
      </c>
      <c r="E22" s="770" t="s">
        <v>2093</v>
      </c>
      <c r="F22" s="770" t="s">
        <v>2145</v>
      </c>
      <c r="G22" s="770" t="s">
        <v>2101</v>
      </c>
      <c r="H22" s="770">
        <v>94</v>
      </c>
      <c r="I22" s="770">
        <v>740</v>
      </c>
    </row>
    <row r="23" spans="1:9" x14ac:dyDescent="0.25">
      <c r="A23" t="s">
        <v>2146</v>
      </c>
      <c r="B23" s="770" t="s">
        <v>2111</v>
      </c>
      <c r="C23" s="770">
        <v>56</v>
      </c>
      <c r="D23" s="770">
        <v>77</v>
      </c>
      <c r="E23" s="770" t="s">
        <v>2147</v>
      </c>
      <c r="F23" s="770" t="s">
        <v>2148</v>
      </c>
      <c r="G23" s="770">
        <v>300</v>
      </c>
      <c r="H23" s="770">
        <v>12</v>
      </c>
      <c r="I23" s="770">
        <v>14230</v>
      </c>
    </row>
    <row r="24" spans="1:9" x14ac:dyDescent="0.25">
      <c r="A24" t="s">
        <v>2149</v>
      </c>
      <c r="B24" s="770" t="s">
        <v>2049</v>
      </c>
      <c r="C24" s="770" t="s">
        <v>2150</v>
      </c>
      <c r="D24" s="770" t="s">
        <v>2151</v>
      </c>
      <c r="E24" s="770">
        <v>4</v>
      </c>
      <c r="F24" s="770" t="s">
        <v>2152</v>
      </c>
      <c r="G24" s="770" t="s">
        <v>2153</v>
      </c>
      <c r="H24" s="770">
        <v>80</v>
      </c>
      <c r="I24" s="770">
        <v>2880</v>
      </c>
    </row>
    <row r="25" spans="1:9" x14ac:dyDescent="0.25">
      <c r="A25" t="s">
        <v>2154</v>
      </c>
      <c r="B25" s="770" t="s">
        <v>2090</v>
      </c>
      <c r="C25" s="770">
        <v>56</v>
      </c>
      <c r="D25" s="770">
        <v>77</v>
      </c>
      <c r="E25" s="770" t="s">
        <v>2147</v>
      </c>
      <c r="F25" s="770" t="s">
        <v>2155</v>
      </c>
      <c r="G25" s="770">
        <v>300</v>
      </c>
      <c r="H25" s="770" t="s">
        <v>2156</v>
      </c>
      <c r="I25" s="770">
        <v>16740</v>
      </c>
    </row>
    <row r="26" spans="1:9" x14ac:dyDescent="0.25">
      <c r="A26" t="s">
        <v>2157</v>
      </c>
      <c r="B26" s="770" t="s">
        <v>2056</v>
      </c>
      <c r="C26" s="770" t="s">
        <v>2118</v>
      </c>
      <c r="D26" s="770" t="s">
        <v>2119</v>
      </c>
      <c r="E26" s="770" t="s">
        <v>2087</v>
      </c>
      <c r="F26" s="770" t="s">
        <v>2158</v>
      </c>
      <c r="G26" s="770" t="s">
        <v>2121</v>
      </c>
      <c r="H26" s="770">
        <v>94</v>
      </c>
      <c r="I26" s="770">
        <v>628</v>
      </c>
    </row>
  </sheetData>
  <pageMargins left="0.7" right="0.7" top="0.75" bottom="0.75" header="0.3" footer="0.3"/>
  <legacy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AH1094"/>
  <sheetViews>
    <sheetView workbookViewId="0">
      <selection activeCell="G23" sqref="G23"/>
    </sheetView>
  </sheetViews>
  <sheetFormatPr defaultColWidth="11.42578125" defaultRowHeight="15" x14ac:dyDescent="0.25"/>
  <cols>
    <col min="1" max="1" width="12.5703125" customWidth="1"/>
    <col min="2" max="2" width="13" customWidth="1"/>
    <col min="3" max="3" width="13.42578125" customWidth="1"/>
    <col min="6" max="6" width="11.42578125" bestFit="1" customWidth="1"/>
    <col min="13" max="13" width="12.42578125" customWidth="1"/>
    <col min="14" max="14" width="16.42578125" customWidth="1"/>
    <col min="22" max="22" width="11.5703125" bestFit="1" customWidth="1"/>
    <col min="28" max="30" width="12.42578125" customWidth="1"/>
  </cols>
  <sheetData>
    <row r="1" spans="1:34" ht="18.75" x14ac:dyDescent="0.3">
      <c r="A1" s="80" t="s">
        <v>1187</v>
      </c>
      <c r="B1" s="37"/>
      <c r="C1" s="37"/>
      <c r="D1" s="37"/>
      <c r="E1" s="37"/>
      <c r="F1" s="37"/>
      <c r="G1" s="37"/>
      <c r="H1" s="37"/>
      <c r="I1" s="37"/>
      <c r="J1" s="37"/>
      <c r="K1" s="37"/>
      <c r="L1" s="37"/>
      <c r="M1" s="37"/>
      <c r="N1" s="37"/>
      <c r="O1" s="37"/>
      <c r="P1" s="37"/>
      <c r="Q1" s="37"/>
      <c r="R1" s="37"/>
      <c r="T1" s="37"/>
      <c r="U1" s="37"/>
      <c r="V1" s="37"/>
      <c r="W1" s="37"/>
      <c r="X1" s="37"/>
      <c r="Y1" s="37"/>
      <c r="Z1" s="37"/>
      <c r="AA1" s="37"/>
      <c r="AB1" s="37"/>
      <c r="AC1" s="37"/>
      <c r="AD1" s="37"/>
      <c r="AE1" s="37"/>
      <c r="AF1" s="37"/>
      <c r="AG1" s="37"/>
    </row>
    <row r="2" spans="1:34" x14ac:dyDescent="0.25">
      <c r="A2" s="37" t="s">
        <v>1240</v>
      </c>
      <c r="B2" s="37"/>
      <c r="C2" s="37"/>
      <c r="D2" s="37"/>
      <c r="E2" s="37"/>
      <c r="F2" s="37"/>
      <c r="G2" s="37"/>
      <c r="H2" s="37"/>
      <c r="I2" s="37"/>
      <c r="J2" s="37"/>
      <c r="K2" s="37"/>
      <c r="L2" s="37"/>
      <c r="M2" s="37"/>
      <c r="N2" s="37"/>
      <c r="O2" s="37"/>
      <c r="P2" s="37"/>
      <c r="Q2" s="37"/>
      <c r="R2" s="37"/>
      <c r="T2" s="37"/>
      <c r="U2" s="37"/>
      <c r="V2" s="37"/>
      <c r="W2" s="37"/>
      <c r="X2" s="37"/>
      <c r="Y2" s="37"/>
      <c r="Z2" s="37"/>
      <c r="AA2" s="37"/>
      <c r="AB2" s="37"/>
      <c r="AC2" s="37"/>
      <c r="AD2" s="37"/>
      <c r="AE2" s="37"/>
      <c r="AF2" s="37"/>
      <c r="AG2" s="37"/>
    </row>
    <row r="3" spans="1:34" ht="15.75" thickBot="1" x14ac:dyDescent="0.3">
      <c r="A3" s="37" t="s">
        <v>1241</v>
      </c>
      <c r="B3" s="37"/>
      <c r="C3" s="37"/>
      <c r="D3" s="37"/>
      <c r="E3" s="37"/>
      <c r="F3" s="37"/>
      <c r="G3" s="37"/>
      <c r="H3" s="37"/>
      <c r="I3" s="37"/>
      <c r="J3" s="37"/>
      <c r="K3" s="37"/>
      <c r="L3" s="37"/>
      <c r="M3" s="37"/>
      <c r="N3" s="37"/>
      <c r="O3" s="37"/>
      <c r="P3" s="37"/>
      <c r="Q3" s="37"/>
      <c r="R3" s="37"/>
      <c r="T3" s="37"/>
      <c r="U3" s="37"/>
      <c r="V3" s="37"/>
      <c r="W3" s="37"/>
      <c r="X3" s="37"/>
      <c r="Y3" s="37"/>
      <c r="Z3" s="37"/>
      <c r="AA3" s="37"/>
      <c r="AB3" s="37"/>
      <c r="AC3" s="37"/>
      <c r="AD3" s="37"/>
      <c r="AE3" s="37"/>
      <c r="AF3" s="37"/>
      <c r="AG3" s="37"/>
    </row>
    <row r="4" spans="1:34" ht="15.75" thickBot="1" x14ac:dyDescent="0.3">
      <c r="A4" s="37"/>
      <c r="B4" s="37"/>
      <c r="C4" s="81"/>
      <c r="D4" s="81" t="s">
        <v>1188</v>
      </c>
      <c r="E4" s="37"/>
      <c r="F4" s="37"/>
      <c r="G4" s="37"/>
      <c r="H4" s="37"/>
      <c r="I4" s="37"/>
      <c r="J4" s="37"/>
      <c r="K4" s="37"/>
      <c r="L4" s="37"/>
      <c r="M4" s="412"/>
      <c r="N4" s="412"/>
      <c r="T4" s="37"/>
      <c r="U4" s="851" t="s">
        <v>795</v>
      </c>
      <c r="V4" s="854" t="s">
        <v>799</v>
      </c>
      <c r="W4" s="855"/>
      <c r="X4" s="856" t="s">
        <v>798</v>
      </c>
      <c r="Y4" s="855"/>
      <c r="Z4" s="832" t="s">
        <v>1638</v>
      </c>
      <c r="AA4" s="833"/>
      <c r="AB4" s="833"/>
      <c r="AC4" s="833"/>
      <c r="AD4" s="833"/>
      <c r="AE4" s="834" t="s">
        <v>128</v>
      </c>
      <c r="AF4" s="835"/>
      <c r="AG4" s="836"/>
    </row>
    <row r="5" spans="1:34" ht="15.75" customHeight="1" thickBot="1" x14ac:dyDescent="0.3">
      <c r="A5" s="37"/>
      <c r="B5" s="81"/>
      <c r="C5" s="81"/>
      <c r="D5" s="81"/>
      <c r="E5" s="81"/>
      <c r="F5" s="37"/>
      <c r="G5" s="37"/>
      <c r="H5" s="37"/>
      <c r="I5" s="37"/>
      <c r="J5" s="37"/>
      <c r="K5" s="37"/>
      <c r="L5" s="37"/>
      <c r="N5" s="563" t="s">
        <v>1628</v>
      </c>
      <c r="O5" s="224"/>
      <c r="P5" s="644"/>
      <c r="T5" s="37"/>
      <c r="U5" s="852"/>
      <c r="V5" s="574" t="s">
        <v>1632</v>
      </c>
      <c r="W5" s="572" t="s">
        <v>1634</v>
      </c>
      <c r="X5" s="574" t="s">
        <v>1637</v>
      </c>
      <c r="Y5" s="572" t="s">
        <v>1636</v>
      </c>
      <c r="Z5" s="574" t="s">
        <v>1639</v>
      </c>
      <c r="AA5" s="572" t="s">
        <v>800</v>
      </c>
      <c r="AB5" s="572" t="s">
        <v>1640</v>
      </c>
      <c r="AC5" s="572" t="s">
        <v>1423</v>
      </c>
      <c r="AD5" s="572" t="s">
        <v>1544</v>
      </c>
      <c r="AE5" s="628" t="s">
        <v>1655</v>
      </c>
      <c r="AF5" s="572" t="s">
        <v>1448</v>
      </c>
      <c r="AG5" s="575" t="s">
        <v>1652</v>
      </c>
    </row>
    <row r="6" spans="1:34" ht="15.75" customHeight="1" thickBot="1" x14ac:dyDescent="0.3">
      <c r="A6" s="839" t="s">
        <v>1615</v>
      </c>
      <c r="B6" s="840"/>
      <c r="C6" s="430" t="s">
        <v>1551</v>
      </c>
      <c r="D6" s="418" t="s">
        <v>1552</v>
      </c>
      <c r="E6" s="418" t="s">
        <v>1553</v>
      </c>
      <c r="F6" s="418" t="s">
        <v>1554</v>
      </c>
      <c r="G6" s="418" t="s">
        <v>1555</v>
      </c>
      <c r="H6" s="418" t="s">
        <v>1556</v>
      </c>
      <c r="I6" s="418" t="s">
        <v>1557</v>
      </c>
      <c r="J6" s="418" t="s">
        <v>1558</v>
      </c>
      <c r="K6" s="418" t="s">
        <v>1559</v>
      </c>
      <c r="L6" s="419" t="s">
        <v>1560</v>
      </c>
      <c r="M6" s="413"/>
      <c r="N6" s="564"/>
      <c r="O6" s="565"/>
      <c r="P6" s="645"/>
      <c r="U6" s="853"/>
      <c r="V6" s="573" t="s">
        <v>1633</v>
      </c>
      <c r="W6" s="576" t="s">
        <v>1635</v>
      </c>
      <c r="X6" s="573" t="s">
        <v>1633</v>
      </c>
      <c r="Y6" s="576" t="s">
        <v>1635</v>
      </c>
      <c r="Z6" s="573" t="s">
        <v>1633</v>
      </c>
      <c r="AA6" s="576" t="s">
        <v>1633</v>
      </c>
      <c r="AB6" s="576" t="s">
        <v>1633</v>
      </c>
      <c r="AC6" s="576" t="s">
        <v>1633</v>
      </c>
      <c r="AD6" s="576" t="s">
        <v>1633</v>
      </c>
      <c r="AE6" s="573" t="s">
        <v>1398</v>
      </c>
      <c r="AF6" s="577" t="s">
        <v>1654</v>
      </c>
      <c r="AG6" s="629" t="s">
        <v>1653</v>
      </c>
      <c r="AH6" s="225"/>
    </row>
    <row r="7" spans="1:34" ht="15.75" thickBot="1" x14ac:dyDescent="0.3">
      <c r="A7" s="841"/>
      <c r="B7" s="842"/>
      <c r="C7" s="431"/>
      <c r="D7" s="426"/>
      <c r="E7" s="426"/>
      <c r="F7" s="426"/>
      <c r="G7" s="426"/>
      <c r="H7" s="426"/>
      <c r="I7" s="426"/>
      <c r="J7" s="426"/>
      <c r="K7" s="426"/>
      <c r="L7" s="427"/>
      <c r="M7" s="44"/>
      <c r="N7" s="124" t="s">
        <v>1237</v>
      </c>
      <c r="O7" s="562">
        <v>1</v>
      </c>
      <c r="P7" s="646"/>
      <c r="U7" s="580">
        <v>0</v>
      </c>
      <c r="V7" s="584">
        <v>0.13650000000000001</v>
      </c>
      <c r="W7" s="578">
        <v>0.4</v>
      </c>
      <c r="X7" s="584">
        <v>0.10799999999999998</v>
      </c>
      <c r="Y7" s="578">
        <v>21</v>
      </c>
      <c r="Z7" s="588">
        <v>0.1938</v>
      </c>
      <c r="AA7" s="578">
        <v>0</v>
      </c>
      <c r="AB7" s="578">
        <v>0.1938</v>
      </c>
      <c r="AC7" s="578">
        <v>0</v>
      </c>
      <c r="AD7" s="618">
        <v>0</v>
      </c>
      <c r="AE7" s="627">
        <v>0.5</v>
      </c>
      <c r="AF7" s="630">
        <v>1585</v>
      </c>
      <c r="AG7" s="631">
        <v>293</v>
      </c>
      <c r="AH7" s="56"/>
    </row>
    <row r="8" spans="1:34" x14ac:dyDescent="0.25">
      <c r="A8" s="441" t="s">
        <v>1189</v>
      </c>
      <c r="B8" s="442"/>
      <c r="C8" s="475"/>
      <c r="D8" s="443"/>
      <c r="E8" s="443"/>
      <c r="F8" s="443"/>
      <c r="G8" s="443"/>
      <c r="H8" s="443"/>
      <c r="I8" s="443"/>
      <c r="J8" s="443"/>
      <c r="K8" s="443"/>
      <c r="L8" s="444"/>
      <c r="M8" s="44"/>
      <c r="N8" s="105" t="s">
        <v>1235</v>
      </c>
      <c r="O8" s="115"/>
      <c r="P8" s="103" t="s">
        <v>787</v>
      </c>
      <c r="U8" s="581">
        <v>2.0833333333333332E-2</v>
      </c>
      <c r="V8" s="585">
        <v>0.13650000000000001</v>
      </c>
      <c r="W8" s="83">
        <v>0.3764551344531557</v>
      </c>
      <c r="X8" s="585">
        <v>0.10799999999999998</v>
      </c>
      <c r="Y8" s="83">
        <v>20.974204214169649</v>
      </c>
      <c r="Z8" s="589">
        <v>0.1938</v>
      </c>
      <c r="AA8" s="83">
        <v>0</v>
      </c>
      <c r="AB8" s="83">
        <v>0.1938</v>
      </c>
      <c r="AC8" s="83">
        <v>0</v>
      </c>
      <c r="AD8" s="619">
        <v>0</v>
      </c>
      <c r="AE8" s="625">
        <v>0.25006464561025149</v>
      </c>
      <c r="AF8" s="623">
        <v>1585</v>
      </c>
      <c r="AG8" s="615">
        <v>292.99592773328516</v>
      </c>
      <c r="AH8" s="56"/>
    </row>
    <row r="9" spans="1:34" x14ac:dyDescent="0.25">
      <c r="A9" s="105" t="s">
        <v>1200</v>
      </c>
      <c r="B9" s="445"/>
      <c r="C9" s="520"/>
      <c r="D9" s="115"/>
      <c r="E9" s="115"/>
      <c r="F9" s="115"/>
      <c r="G9" s="115"/>
      <c r="H9" s="115"/>
      <c r="I9" s="115"/>
      <c r="J9" s="115"/>
      <c r="K9" s="115"/>
      <c r="L9" s="521"/>
      <c r="M9" s="44"/>
      <c r="N9" s="106" t="s">
        <v>1222</v>
      </c>
      <c r="O9" s="116"/>
      <c r="P9" s="102" t="s">
        <v>787</v>
      </c>
      <c r="U9" s="582">
        <v>4.1666666666666699E-2</v>
      </c>
      <c r="V9" s="586">
        <v>0.13650000000000001</v>
      </c>
      <c r="W9" s="82">
        <v>0.35291092323849688</v>
      </c>
      <c r="X9" s="586">
        <v>0.10799999999999998</v>
      </c>
      <c r="Y9" s="82">
        <v>20.948409137282606</v>
      </c>
      <c r="Z9" s="590">
        <v>0.1938</v>
      </c>
      <c r="AA9" s="82">
        <v>0</v>
      </c>
      <c r="AB9" s="82">
        <v>0.1938</v>
      </c>
      <c r="AC9" s="82">
        <v>0</v>
      </c>
      <c r="AD9" s="620">
        <v>0</v>
      </c>
      <c r="AE9" s="624">
        <v>0.25006464791834182</v>
      </c>
      <c r="AF9" s="622">
        <v>1585</v>
      </c>
      <c r="AG9" s="616">
        <v>292.99185546657026</v>
      </c>
      <c r="AH9" s="56"/>
    </row>
    <row r="10" spans="1:34" ht="15.75" thickBot="1" x14ac:dyDescent="0.3">
      <c r="A10" s="105" t="s">
        <v>1646</v>
      </c>
      <c r="B10" s="446"/>
      <c r="C10" s="522"/>
      <c r="D10" s="523"/>
      <c r="E10" s="523"/>
      <c r="F10" s="523"/>
      <c r="G10" s="523"/>
      <c r="H10" s="523"/>
      <c r="I10" s="523"/>
      <c r="J10" s="523"/>
      <c r="K10" s="523"/>
      <c r="L10" s="524"/>
      <c r="M10" s="44"/>
      <c r="N10" s="105" t="s">
        <v>1223</v>
      </c>
      <c r="O10" s="117"/>
      <c r="P10" s="103" t="s">
        <v>787</v>
      </c>
      <c r="U10" s="581">
        <v>6.25E-2</v>
      </c>
      <c r="V10" s="585">
        <v>0.13650000000000001</v>
      </c>
      <c r="W10" s="83">
        <v>0.32936736635602371</v>
      </c>
      <c r="X10" s="585">
        <v>0.10799999999999998</v>
      </c>
      <c r="Y10" s="83">
        <v>20.922614769338882</v>
      </c>
      <c r="Z10" s="589">
        <v>0.1938</v>
      </c>
      <c r="AA10" s="83">
        <v>0</v>
      </c>
      <c r="AB10" s="83">
        <v>0.1938</v>
      </c>
      <c r="AC10" s="83">
        <v>0</v>
      </c>
      <c r="AD10" s="619">
        <v>0</v>
      </c>
      <c r="AE10" s="625">
        <v>0.25006465022655389</v>
      </c>
      <c r="AF10" s="623">
        <v>1585</v>
      </c>
      <c r="AG10" s="615">
        <v>292.98778319985541</v>
      </c>
      <c r="AH10" s="56"/>
    </row>
    <row r="11" spans="1:34" x14ac:dyDescent="0.25">
      <c r="A11" s="485" t="s">
        <v>1190</v>
      </c>
      <c r="B11" s="486"/>
      <c r="C11" s="487"/>
      <c r="D11" s="488"/>
      <c r="E11" s="488"/>
      <c r="F11" s="488"/>
      <c r="G11" s="488"/>
      <c r="H11" s="488"/>
      <c r="I11" s="488"/>
      <c r="J11" s="488"/>
      <c r="K11" s="488"/>
      <c r="L11" s="489"/>
      <c r="M11" s="44"/>
      <c r="N11" s="106" t="s">
        <v>1224</v>
      </c>
      <c r="O11" s="116"/>
      <c r="P11" s="102" t="s">
        <v>787</v>
      </c>
      <c r="U11" s="582">
        <v>8.3333333333333301E-2</v>
      </c>
      <c r="V11" s="586">
        <v>0.13650000000000001</v>
      </c>
      <c r="W11" s="82">
        <v>0.30582446380573608</v>
      </c>
      <c r="X11" s="586">
        <v>0.10799999999999998</v>
      </c>
      <c r="Y11" s="82">
        <v>20.896821110338468</v>
      </c>
      <c r="Z11" s="590">
        <v>0.1938</v>
      </c>
      <c r="AA11" s="82">
        <v>0</v>
      </c>
      <c r="AB11" s="82">
        <v>0.1938</v>
      </c>
      <c r="AC11" s="82">
        <v>0</v>
      </c>
      <c r="AD11" s="620">
        <v>0</v>
      </c>
      <c r="AE11" s="624">
        <v>0.25006465253489041</v>
      </c>
      <c r="AF11" s="622">
        <v>1585</v>
      </c>
      <c r="AG11" s="616">
        <v>292.98371093314057</v>
      </c>
      <c r="AH11" s="56"/>
    </row>
    <row r="12" spans="1:34" x14ac:dyDescent="0.25">
      <c r="A12" s="106" t="s">
        <v>1200</v>
      </c>
      <c r="B12" s="428"/>
      <c r="C12" s="525"/>
      <c r="D12" s="526"/>
      <c r="E12" s="526"/>
      <c r="F12" s="526"/>
      <c r="G12" s="526"/>
      <c r="H12" s="526"/>
      <c r="I12" s="526"/>
      <c r="J12" s="526"/>
      <c r="K12" s="526"/>
      <c r="L12" s="527"/>
      <c r="M12" s="44"/>
      <c r="N12" s="105" t="s">
        <v>1225</v>
      </c>
      <c r="O12" s="117"/>
      <c r="P12" s="103" t="s">
        <v>787</v>
      </c>
      <c r="U12" s="581">
        <v>0.104166666666667</v>
      </c>
      <c r="V12" s="585">
        <v>0.13650000000000001</v>
      </c>
      <c r="W12" s="83">
        <v>0.28228221558763394</v>
      </c>
      <c r="X12" s="585">
        <v>0.10799999999999998</v>
      </c>
      <c r="Y12" s="83">
        <v>20.871028160281366</v>
      </c>
      <c r="Z12" s="589">
        <v>0.1938</v>
      </c>
      <c r="AA12" s="83">
        <v>0</v>
      </c>
      <c r="AB12" s="83">
        <v>0.1938</v>
      </c>
      <c r="AC12" s="83">
        <v>0</v>
      </c>
      <c r="AD12" s="619">
        <v>0</v>
      </c>
      <c r="AE12" s="625">
        <v>0.25006465484335155</v>
      </c>
      <c r="AF12" s="623">
        <v>1585</v>
      </c>
      <c r="AG12" s="615">
        <v>292.97963866642567</v>
      </c>
      <c r="AH12" s="56"/>
    </row>
    <row r="13" spans="1:34" x14ac:dyDescent="0.25">
      <c r="A13" s="106" t="s">
        <v>1648</v>
      </c>
      <c r="B13" s="428"/>
      <c r="C13" s="528"/>
      <c r="D13" s="529"/>
      <c r="E13" s="529"/>
      <c r="F13" s="529"/>
      <c r="G13" s="529"/>
      <c r="H13" s="529"/>
      <c r="I13" s="529"/>
      <c r="J13" s="529"/>
      <c r="K13" s="529"/>
      <c r="L13" s="530"/>
      <c r="M13" s="44"/>
      <c r="N13" s="106" t="s">
        <v>1226</v>
      </c>
      <c r="O13" s="116"/>
      <c r="P13" s="102" t="s">
        <v>787</v>
      </c>
      <c r="U13" s="582">
        <v>0.125</v>
      </c>
      <c r="V13" s="586">
        <v>0.13650000000000001</v>
      </c>
      <c r="W13" s="82">
        <v>0.25874062170171747</v>
      </c>
      <c r="X13" s="586">
        <v>0.10799999999999998</v>
      </c>
      <c r="Y13" s="82">
        <v>20.845235919167578</v>
      </c>
      <c r="Z13" s="590">
        <v>0.1938</v>
      </c>
      <c r="AA13" s="82">
        <v>0</v>
      </c>
      <c r="AB13" s="82">
        <v>0.1938</v>
      </c>
      <c r="AC13" s="82">
        <v>0</v>
      </c>
      <c r="AD13" s="620">
        <v>0</v>
      </c>
      <c r="AE13" s="624">
        <v>0.25006465715193454</v>
      </c>
      <c r="AF13" s="622">
        <v>1585</v>
      </c>
      <c r="AG13" s="616">
        <v>292.97556639971083</v>
      </c>
      <c r="AH13" s="56"/>
    </row>
    <row r="14" spans="1:34" ht="15.75" thickBot="1" x14ac:dyDescent="0.3">
      <c r="A14" s="306" t="s">
        <v>1650</v>
      </c>
      <c r="B14" s="490"/>
      <c r="C14" s="531"/>
      <c r="D14" s="532"/>
      <c r="E14" s="532"/>
      <c r="F14" s="532"/>
      <c r="G14" s="532"/>
      <c r="H14" s="532"/>
      <c r="I14" s="532"/>
      <c r="J14" s="532"/>
      <c r="K14" s="532"/>
      <c r="L14" s="533"/>
      <c r="M14" s="44"/>
      <c r="N14" s="105" t="s">
        <v>1227</v>
      </c>
      <c r="O14" s="117"/>
      <c r="P14" s="103" t="s">
        <v>787</v>
      </c>
      <c r="U14" s="581">
        <v>0.14583333333333301</v>
      </c>
      <c r="V14" s="585">
        <v>0.13650000000000001</v>
      </c>
      <c r="W14" s="83">
        <v>0.23519968214798651</v>
      </c>
      <c r="X14" s="585">
        <v>0.10799999999999998</v>
      </c>
      <c r="Y14" s="83">
        <v>20.819444386997102</v>
      </c>
      <c r="Z14" s="589">
        <v>0.1938</v>
      </c>
      <c r="AA14" s="83">
        <v>0</v>
      </c>
      <c r="AB14" s="83">
        <v>0.1938</v>
      </c>
      <c r="AC14" s="83">
        <v>0</v>
      </c>
      <c r="AD14" s="619">
        <v>0</v>
      </c>
      <c r="AE14" s="625">
        <v>0.25006465946064299</v>
      </c>
      <c r="AF14" s="623">
        <v>1585</v>
      </c>
      <c r="AG14" s="615">
        <v>292.97149413299593</v>
      </c>
      <c r="AH14" s="56"/>
    </row>
    <row r="15" spans="1:34" x14ac:dyDescent="0.25">
      <c r="A15" s="447" t="s">
        <v>1617</v>
      </c>
      <c r="B15" s="448"/>
      <c r="C15" s="476"/>
      <c r="D15" s="449"/>
      <c r="E15" s="449"/>
      <c r="F15" s="449"/>
      <c r="G15" s="449"/>
      <c r="H15" s="449"/>
      <c r="I15" s="449"/>
      <c r="J15" s="449"/>
      <c r="K15" s="449"/>
      <c r="L15" s="450"/>
      <c r="M15" s="44"/>
      <c r="N15" s="106" t="s">
        <v>1228</v>
      </c>
      <c r="O15" s="116"/>
      <c r="P15" s="102" t="s">
        <v>787</v>
      </c>
      <c r="U15" s="582">
        <v>0.16666666666666699</v>
      </c>
      <c r="V15" s="586">
        <v>0.13650000000000001</v>
      </c>
      <c r="W15" s="82">
        <v>0.21165939692644117</v>
      </c>
      <c r="X15" s="586">
        <v>0.10799999999999998</v>
      </c>
      <c r="Y15" s="82">
        <v>20.79365356376994</v>
      </c>
      <c r="Z15" s="590">
        <v>0.1938</v>
      </c>
      <c r="AA15" s="82">
        <v>0</v>
      </c>
      <c r="AB15" s="82">
        <v>0.1938</v>
      </c>
      <c r="AC15" s="82">
        <v>0</v>
      </c>
      <c r="AD15" s="620">
        <v>0</v>
      </c>
      <c r="AE15" s="624">
        <v>0.25006466176947328</v>
      </c>
      <c r="AF15" s="622">
        <v>1585</v>
      </c>
      <c r="AG15" s="616">
        <v>292.96742186628109</v>
      </c>
      <c r="AH15" s="56"/>
    </row>
    <row r="16" spans="1:34" x14ac:dyDescent="0.25">
      <c r="A16" s="451" t="s">
        <v>1200</v>
      </c>
      <c r="B16" s="452"/>
      <c r="C16" s="534"/>
      <c r="D16" s="535"/>
      <c r="E16" s="535"/>
      <c r="F16" s="535"/>
      <c r="G16" s="535"/>
      <c r="H16" s="535"/>
      <c r="I16" s="535"/>
      <c r="J16" s="535"/>
      <c r="K16" s="535"/>
      <c r="L16" s="536"/>
      <c r="M16" s="44"/>
      <c r="N16" s="105" t="s">
        <v>1229</v>
      </c>
      <c r="O16" s="117"/>
      <c r="P16" s="103" t="s">
        <v>787</v>
      </c>
      <c r="U16" s="581">
        <v>0.1875</v>
      </c>
      <c r="V16" s="585">
        <v>0.13650000000000001</v>
      </c>
      <c r="W16" s="83">
        <v>0.18811976603708133</v>
      </c>
      <c r="X16" s="585">
        <v>0.10799999999999998</v>
      </c>
      <c r="Y16" s="83">
        <v>20.767863449486086</v>
      </c>
      <c r="Z16" s="589">
        <v>0.1938</v>
      </c>
      <c r="AA16" s="83">
        <v>0</v>
      </c>
      <c r="AB16" s="83">
        <v>0.1938</v>
      </c>
      <c r="AC16" s="83">
        <v>0</v>
      </c>
      <c r="AD16" s="619">
        <v>0</v>
      </c>
      <c r="AE16" s="625">
        <v>0.25006466407842898</v>
      </c>
      <c r="AF16" s="623">
        <v>1585</v>
      </c>
      <c r="AG16" s="615">
        <v>292.96334959956619</v>
      </c>
      <c r="AH16" s="56"/>
    </row>
    <row r="17" spans="1:34" ht="15.75" thickBot="1" x14ac:dyDescent="0.3">
      <c r="A17" s="453" t="s">
        <v>1647</v>
      </c>
      <c r="B17" s="471"/>
      <c r="C17" s="537"/>
      <c r="D17" s="538"/>
      <c r="E17" s="538"/>
      <c r="F17" s="538"/>
      <c r="G17" s="538"/>
      <c r="H17" s="538"/>
      <c r="I17" s="538"/>
      <c r="J17" s="538"/>
      <c r="K17" s="538"/>
      <c r="L17" s="539"/>
      <c r="M17" s="44"/>
      <c r="N17" s="415" t="s">
        <v>1230</v>
      </c>
      <c r="O17" s="416"/>
      <c r="P17" s="417" t="s">
        <v>787</v>
      </c>
      <c r="U17" s="582">
        <v>0.20833333333333301</v>
      </c>
      <c r="V17" s="586">
        <v>0.21599999999999997</v>
      </c>
      <c r="W17" s="82">
        <v>0.16458078947990712</v>
      </c>
      <c r="X17" s="586">
        <v>0.17039999999999997</v>
      </c>
      <c r="Y17" s="82">
        <v>20.74207404414555</v>
      </c>
      <c r="Z17" s="590">
        <v>0.3579</v>
      </c>
      <c r="AA17" s="82">
        <v>5.333333333333333</v>
      </c>
      <c r="AB17" s="82">
        <v>0.3579</v>
      </c>
      <c r="AC17" s="82">
        <v>0</v>
      </c>
      <c r="AD17" s="620">
        <v>0</v>
      </c>
      <c r="AE17" s="624">
        <v>0.25006466638750668</v>
      </c>
      <c r="AF17" s="622">
        <v>2500</v>
      </c>
      <c r="AG17" s="616">
        <v>292.95927733285134</v>
      </c>
      <c r="AH17" s="56"/>
    </row>
    <row r="18" spans="1:34" ht="15.75" thickBot="1" x14ac:dyDescent="0.3">
      <c r="A18" s="454" t="s">
        <v>1191</v>
      </c>
      <c r="B18" s="455"/>
      <c r="C18" s="477"/>
      <c r="D18" s="456"/>
      <c r="E18" s="456"/>
      <c r="F18" s="456"/>
      <c r="G18" s="456"/>
      <c r="H18" s="456"/>
      <c r="I18" s="456"/>
      <c r="J18" s="456"/>
      <c r="K18" s="456"/>
      <c r="L18" s="457"/>
      <c r="M18" s="44"/>
      <c r="U18" s="581">
        <v>0.22916666666666699</v>
      </c>
      <c r="V18" s="585">
        <v>0.21599999999999997</v>
      </c>
      <c r="W18" s="83">
        <v>0.15864426550585203</v>
      </c>
      <c r="X18" s="585">
        <v>0.17039999999999997</v>
      </c>
      <c r="Y18" s="83">
        <v>20.735501944259514</v>
      </c>
      <c r="Z18" s="589">
        <v>0.3579</v>
      </c>
      <c r="AA18" s="83">
        <v>0</v>
      </c>
      <c r="AB18" s="83">
        <v>0.3579</v>
      </c>
      <c r="AC18" s="83">
        <v>0</v>
      </c>
      <c r="AD18" s="619">
        <v>6.9577333333333327</v>
      </c>
      <c r="AE18" s="625">
        <v>0.25001599918704248</v>
      </c>
      <c r="AF18" s="623">
        <v>2500</v>
      </c>
      <c r="AG18" s="615">
        <v>292.95826973293077</v>
      </c>
      <c r="AH18" s="56"/>
    </row>
    <row r="19" spans="1:34" ht="15.75" thickBot="1" x14ac:dyDescent="0.3">
      <c r="A19" s="458" t="s">
        <v>1200</v>
      </c>
      <c r="B19" s="459"/>
      <c r="C19" s="540"/>
      <c r="D19" s="541"/>
      <c r="E19" s="541"/>
      <c r="F19" s="541"/>
      <c r="G19" s="541"/>
      <c r="H19" s="541"/>
      <c r="I19" s="541"/>
      <c r="J19" s="541"/>
      <c r="K19" s="541"/>
      <c r="L19" s="542"/>
      <c r="M19" s="44"/>
      <c r="N19" s="567" t="s">
        <v>1629</v>
      </c>
      <c r="O19" s="568"/>
      <c r="P19" s="569"/>
      <c r="U19" s="582">
        <v>0.25</v>
      </c>
      <c r="V19" s="586">
        <v>0.21599999999999997</v>
      </c>
      <c r="W19" s="82">
        <v>0.15270778236403379</v>
      </c>
      <c r="X19" s="586">
        <v>0.17039999999999997</v>
      </c>
      <c r="Y19" s="82">
        <v>20.728929889090875</v>
      </c>
      <c r="Z19" s="590">
        <v>0.3579</v>
      </c>
      <c r="AA19" s="82">
        <v>5.333333333333333</v>
      </c>
      <c r="AB19" s="82">
        <v>4.3579000000000017</v>
      </c>
      <c r="AC19" s="82">
        <v>4.0000000000000009</v>
      </c>
      <c r="AD19" s="620">
        <v>0</v>
      </c>
      <c r="AE19" s="624">
        <v>0.2500159993283888</v>
      </c>
      <c r="AF19" s="622">
        <v>2500</v>
      </c>
      <c r="AG19" s="616">
        <v>292.95726213301026</v>
      </c>
      <c r="AH19" s="56"/>
    </row>
    <row r="20" spans="1:34" ht="15.75" thickBot="1" x14ac:dyDescent="0.3">
      <c r="A20" s="460" t="s">
        <v>1648</v>
      </c>
      <c r="B20" s="472"/>
      <c r="C20" s="543"/>
      <c r="D20" s="544"/>
      <c r="E20" s="544"/>
      <c r="F20" s="544"/>
      <c r="G20" s="544"/>
      <c r="H20" s="544"/>
      <c r="I20" s="544"/>
      <c r="J20" s="544"/>
      <c r="K20" s="544"/>
      <c r="L20" s="545"/>
      <c r="M20" s="44"/>
      <c r="N20" s="307" t="s">
        <v>1462</v>
      </c>
      <c r="O20" s="308" t="s">
        <v>1463</v>
      </c>
      <c r="P20" s="309" t="s">
        <v>2</v>
      </c>
      <c r="U20" s="581">
        <v>0.27083333333333298</v>
      </c>
      <c r="V20" s="585">
        <v>0.21599999999999997</v>
      </c>
      <c r="W20" s="83">
        <v>0.14677134005445236</v>
      </c>
      <c r="X20" s="585">
        <v>0.17039999999999997</v>
      </c>
      <c r="Y20" s="83">
        <v>20.722357878639627</v>
      </c>
      <c r="Z20" s="589">
        <v>0.3579</v>
      </c>
      <c r="AA20" s="83">
        <v>0</v>
      </c>
      <c r="AB20" s="83">
        <v>0.3579</v>
      </c>
      <c r="AC20" s="83">
        <v>0</v>
      </c>
      <c r="AD20" s="619">
        <v>0</v>
      </c>
      <c r="AE20" s="625">
        <v>0.25001599946973774</v>
      </c>
      <c r="AF20" s="623">
        <v>2500</v>
      </c>
      <c r="AG20" s="615">
        <v>292.95625453308975</v>
      </c>
      <c r="AH20" s="56"/>
    </row>
    <row r="21" spans="1:34" x14ac:dyDescent="0.25">
      <c r="A21" s="461" t="s">
        <v>1192</v>
      </c>
      <c r="B21" s="462"/>
      <c r="C21" s="478"/>
      <c r="D21" s="463"/>
      <c r="E21" s="463"/>
      <c r="F21" s="463"/>
      <c r="G21" s="463"/>
      <c r="H21" s="463"/>
      <c r="I21" s="463"/>
      <c r="J21" s="463"/>
      <c r="K21" s="463"/>
      <c r="L21" s="464"/>
      <c r="M21" s="44"/>
      <c r="N21" s="105" t="s">
        <v>1254</v>
      </c>
      <c r="O21" s="304"/>
      <c r="P21" s="310">
        <v>130</v>
      </c>
      <c r="U21" s="582">
        <v>0.29166666666666702</v>
      </c>
      <c r="V21" s="586">
        <v>0.21599999999999997</v>
      </c>
      <c r="W21" s="82">
        <v>0.1408349385771078</v>
      </c>
      <c r="X21" s="586">
        <v>0.17039999999999997</v>
      </c>
      <c r="Y21" s="82">
        <v>20.715785912905776</v>
      </c>
      <c r="Z21" s="590">
        <v>0.3579</v>
      </c>
      <c r="AA21" s="82">
        <v>0</v>
      </c>
      <c r="AB21" s="82">
        <v>0.3579</v>
      </c>
      <c r="AC21" s="82">
        <v>0</v>
      </c>
      <c r="AD21" s="620">
        <v>0</v>
      </c>
      <c r="AE21" s="624">
        <v>0.25001599961108856</v>
      </c>
      <c r="AF21" s="622">
        <v>2500</v>
      </c>
      <c r="AG21" s="616">
        <v>292.95524693316924</v>
      </c>
      <c r="AH21" s="56"/>
    </row>
    <row r="22" spans="1:34" x14ac:dyDescent="0.25">
      <c r="A22" s="465" t="s">
        <v>1200</v>
      </c>
      <c r="B22" s="466"/>
      <c r="C22" s="546"/>
      <c r="D22" s="547"/>
      <c r="E22" s="547"/>
      <c r="F22" s="547"/>
      <c r="G22" s="547"/>
      <c r="H22" s="547"/>
      <c r="I22" s="547"/>
      <c r="J22" s="547"/>
      <c r="K22" s="547"/>
      <c r="L22" s="548"/>
      <c r="M22" s="44"/>
      <c r="N22" s="104" t="s">
        <v>1255</v>
      </c>
      <c r="O22" s="305"/>
      <c r="P22" s="311">
        <v>150</v>
      </c>
      <c r="U22" s="581">
        <v>0.3125</v>
      </c>
      <c r="V22" s="585">
        <v>0.21599999999999997</v>
      </c>
      <c r="W22" s="83">
        <v>0.13489857793200002</v>
      </c>
      <c r="X22" s="585">
        <v>0.17039999999999997</v>
      </c>
      <c r="Y22" s="83">
        <v>20.709213991889314</v>
      </c>
      <c r="Z22" s="589">
        <v>0.3579</v>
      </c>
      <c r="AA22" s="83">
        <v>0</v>
      </c>
      <c r="AB22" s="83">
        <v>0.3579</v>
      </c>
      <c r="AC22" s="83">
        <v>0</v>
      </c>
      <c r="AD22" s="619">
        <v>0</v>
      </c>
      <c r="AE22" s="625">
        <v>0.25001599975244232</v>
      </c>
      <c r="AF22" s="623">
        <v>2500</v>
      </c>
      <c r="AG22" s="615">
        <v>292.95423933324867</v>
      </c>
      <c r="AH22" s="56"/>
    </row>
    <row r="23" spans="1:34" ht="15.75" thickBot="1" x14ac:dyDescent="0.3">
      <c r="A23" s="467" t="s">
        <v>1648</v>
      </c>
      <c r="B23" s="473"/>
      <c r="C23" s="549"/>
      <c r="D23" s="550"/>
      <c r="E23" s="550"/>
      <c r="F23" s="550"/>
      <c r="G23" s="550"/>
      <c r="H23" s="550"/>
      <c r="I23" s="550"/>
      <c r="J23" s="550"/>
      <c r="K23" s="550"/>
      <c r="L23" s="551"/>
      <c r="M23" s="44"/>
      <c r="N23" s="105" t="s">
        <v>1256</v>
      </c>
      <c r="O23" s="304"/>
      <c r="P23" s="310">
        <v>200</v>
      </c>
      <c r="U23" s="582">
        <v>0.33333333333333298</v>
      </c>
      <c r="V23" s="586">
        <v>0.21599999999999997</v>
      </c>
      <c r="W23" s="82">
        <v>0.12896225811912909</v>
      </c>
      <c r="X23" s="586">
        <v>0.17039999999999997</v>
      </c>
      <c r="Y23" s="82">
        <v>20.702642115590251</v>
      </c>
      <c r="Z23" s="590">
        <v>0.3579</v>
      </c>
      <c r="AA23" s="82">
        <v>0</v>
      </c>
      <c r="AB23" s="82">
        <v>0.3579</v>
      </c>
      <c r="AC23" s="82">
        <v>0</v>
      </c>
      <c r="AD23" s="620">
        <v>0</v>
      </c>
      <c r="AE23" s="624">
        <v>0.25001599989379608</v>
      </c>
      <c r="AF23" s="622">
        <v>2500</v>
      </c>
      <c r="AG23" s="616">
        <v>292.95323173332815</v>
      </c>
      <c r="AH23" s="56"/>
    </row>
    <row r="24" spans="1:34" x14ac:dyDescent="0.25">
      <c r="A24" s="479" t="s">
        <v>1616</v>
      </c>
      <c r="B24" s="480"/>
      <c r="C24" s="481"/>
      <c r="D24" s="482"/>
      <c r="E24" s="482"/>
      <c r="F24" s="482"/>
      <c r="G24" s="482"/>
      <c r="H24" s="482"/>
      <c r="I24" s="482"/>
      <c r="J24" s="482"/>
      <c r="K24" s="482"/>
      <c r="L24" s="483"/>
      <c r="M24" s="44"/>
      <c r="N24" s="104" t="s">
        <v>1257</v>
      </c>
      <c r="O24" s="305"/>
      <c r="P24" s="311">
        <v>170</v>
      </c>
      <c r="U24" s="581">
        <v>0.35416666666666702</v>
      </c>
      <c r="V24" s="585">
        <v>0.21599999999999997</v>
      </c>
      <c r="W24" s="83">
        <v>0.123025979138495</v>
      </c>
      <c r="X24" s="585">
        <v>0.17039999999999997</v>
      </c>
      <c r="Y24" s="83">
        <v>20.696070284008581</v>
      </c>
      <c r="Z24" s="589">
        <v>0.3579</v>
      </c>
      <c r="AA24" s="83">
        <v>0</v>
      </c>
      <c r="AB24" s="83">
        <v>0.3579</v>
      </c>
      <c r="AC24" s="83">
        <v>0</v>
      </c>
      <c r="AD24" s="619">
        <v>0</v>
      </c>
      <c r="AE24" s="625">
        <v>0.25001600003515256</v>
      </c>
      <c r="AF24" s="623">
        <v>2500</v>
      </c>
      <c r="AG24" s="615">
        <v>292.95222413340764</v>
      </c>
      <c r="AH24" s="56"/>
    </row>
    <row r="25" spans="1:34" x14ac:dyDescent="0.25">
      <c r="A25" s="468" t="s">
        <v>1200</v>
      </c>
      <c r="B25" s="469"/>
      <c r="C25" s="608"/>
      <c r="D25" s="609"/>
      <c r="E25" s="609"/>
      <c r="F25" s="609"/>
      <c r="G25" s="609"/>
      <c r="H25" s="609"/>
      <c r="I25" s="609"/>
      <c r="J25" s="609"/>
      <c r="K25" s="609"/>
      <c r="L25" s="610"/>
      <c r="M25" s="44"/>
      <c r="N25" s="105" t="s">
        <v>1258</v>
      </c>
      <c r="O25" s="304"/>
      <c r="P25" s="310">
        <v>660</v>
      </c>
      <c r="U25" s="582">
        <v>0.375</v>
      </c>
      <c r="V25" s="586">
        <v>0.21599999999999997</v>
      </c>
      <c r="W25" s="82">
        <v>0.11708974099009775</v>
      </c>
      <c r="X25" s="586">
        <v>0.17039999999999997</v>
      </c>
      <c r="Y25" s="82">
        <v>20.689498497144303</v>
      </c>
      <c r="Z25" s="590">
        <v>0.3579</v>
      </c>
      <c r="AA25" s="82">
        <v>0</v>
      </c>
      <c r="AB25" s="82">
        <v>0.3579</v>
      </c>
      <c r="AC25" s="82">
        <v>0</v>
      </c>
      <c r="AD25" s="620">
        <v>0</v>
      </c>
      <c r="AE25" s="624">
        <v>0.25001600017651093</v>
      </c>
      <c r="AF25" s="622">
        <v>2500</v>
      </c>
      <c r="AG25" s="616">
        <v>292.95121653348713</v>
      </c>
      <c r="AH25" s="56"/>
    </row>
    <row r="26" spans="1:34" ht="15.75" thickBot="1" x14ac:dyDescent="0.3">
      <c r="A26" s="470" t="s">
        <v>1648</v>
      </c>
      <c r="B26" s="474"/>
      <c r="C26" s="611"/>
      <c r="D26" s="612"/>
      <c r="E26" s="612"/>
      <c r="F26" s="612"/>
      <c r="G26" s="612"/>
      <c r="H26" s="612"/>
      <c r="I26" s="612"/>
      <c r="J26" s="612"/>
      <c r="K26" s="612"/>
      <c r="L26" s="613"/>
      <c r="M26" s="44"/>
      <c r="N26" s="104" t="s">
        <v>846</v>
      </c>
      <c r="O26" s="305"/>
      <c r="P26" s="311"/>
      <c r="U26" s="581">
        <v>0.39583333333333298</v>
      </c>
      <c r="V26" s="585">
        <v>1.4954999999999998</v>
      </c>
      <c r="W26" s="83">
        <v>0.1111535436739373</v>
      </c>
      <c r="X26" s="585">
        <v>1.1820000000000002</v>
      </c>
      <c r="Y26" s="83">
        <v>20.682926754997418</v>
      </c>
      <c r="Z26" s="589">
        <v>2.6997</v>
      </c>
      <c r="AA26" s="83">
        <v>0</v>
      </c>
      <c r="AB26" s="83">
        <v>2.6997</v>
      </c>
      <c r="AC26" s="83">
        <v>0</v>
      </c>
      <c r="AD26" s="619">
        <v>0</v>
      </c>
      <c r="AE26" s="625">
        <v>0.25001600031787208</v>
      </c>
      <c r="AF26" s="623">
        <v>10292.5</v>
      </c>
      <c r="AG26" s="615">
        <v>292.95020893356656</v>
      </c>
      <c r="AH26" s="56"/>
    </row>
    <row r="27" spans="1:34" ht="15.75" thickBot="1" x14ac:dyDescent="0.3">
      <c r="A27" s="495" t="s">
        <v>1193</v>
      </c>
      <c r="B27" s="496"/>
      <c r="C27" s="497"/>
      <c r="D27" s="498"/>
      <c r="E27" s="498"/>
      <c r="F27" s="498"/>
      <c r="G27" s="498"/>
      <c r="H27" s="498"/>
      <c r="I27" s="498"/>
      <c r="J27" s="498"/>
      <c r="K27" s="498"/>
      <c r="L27" s="499"/>
      <c r="M27" s="44"/>
      <c r="N27" s="221" t="s">
        <v>1</v>
      </c>
      <c r="O27" s="312"/>
      <c r="P27" s="313"/>
      <c r="Q27" s="37"/>
      <c r="R27" s="335"/>
      <c r="U27" s="582">
        <v>0.41666666666666702</v>
      </c>
      <c r="V27" s="586">
        <v>0.21599999999999997</v>
      </c>
      <c r="W27" s="82">
        <v>0.38850880161983203</v>
      </c>
      <c r="X27" s="586">
        <v>0.17039999999999997</v>
      </c>
      <c r="Y27" s="82">
        <v>20.986232365898267</v>
      </c>
      <c r="Z27" s="590">
        <v>1.4109</v>
      </c>
      <c r="AA27" s="82">
        <v>0</v>
      </c>
      <c r="AB27" s="82">
        <v>1.9109000000000003</v>
      </c>
      <c r="AC27" s="82">
        <v>0.50000000000000011</v>
      </c>
      <c r="AD27" s="620">
        <v>1.9396124999999997</v>
      </c>
      <c r="AE27" s="624">
        <v>0.7488057462792278</v>
      </c>
      <c r="AF27" s="622">
        <v>5873.75</v>
      </c>
      <c r="AG27" s="616">
        <v>292.9753012418372</v>
      </c>
      <c r="AH27" s="56"/>
    </row>
    <row r="28" spans="1:34" ht="15.75" thickBot="1" x14ac:dyDescent="0.3">
      <c r="A28" s="500" t="s">
        <v>1200</v>
      </c>
      <c r="B28" s="501"/>
      <c r="C28" s="552"/>
      <c r="D28" s="553"/>
      <c r="E28" s="553"/>
      <c r="F28" s="553"/>
      <c r="G28" s="553"/>
      <c r="H28" s="553"/>
      <c r="I28" s="553"/>
      <c r="J28" s="553"/>
      <c r="K28" s="553"/>
      <c r="L28" s="554"/>
      <c r="M28" s="44"/>
      <c r="O28" s="566"/>
      <c r="P28" s="271"/>
      <c r="U28" s="581">
        <v>0.4375</v>
      </c>
      <c r="V28" s="585">
        <v>0.21599999999999997</v>
      </c>
      <c r="W28" s="83">
        <v>0.38258593849720046</v>
      </c>
      <c r="X28" s="585">
        <v>0.17039999999999997</v>
      </c>
      <c r="Y28" s="83">
        <v>20.980468252466888</v>
      </c>
      <c r="Z28" s="589">
        <v>1.4109</v>
      </c>
      <c r="AA28" s="83">
        <v>0</v>
      </c>
      <c r="AB28" s="83">
        <v>1.9109000000000003</v>
      </c>
      <c r="AC28" s="83">
        <v>0.50000000000000011</v>
      </c>
      <c r="AD28" s="619">
        <v>1.9396124999999997</v>
      </c>
      <c r="AE28" s="625">
        <v>0.74950998918517175</v>
      </c>
      <c r="AF28" s="623">
        <v>5873.75</v>
      </c>
      <c r="AG28" s="615">
        <v>292.98559355404501</v>
      </c>
      <c r="AH28" s="56"/>
    </row>
    <row r="29" spans="1:34" ht="15.75" thickBot="1" x14ac:dyDescent="0.3">
      <c r="A29" s="502" t="s">
        <v>1649</v>
      </c>
      <c r="B29" s="503"/>
      <c r="C29" s="555"/>
      <c r="D29" s="556"/>
      <c r="E29" s="556"/>
      <c r="F29" s="556"/>
      <c r="G29" s="556"/>
      <c r="H29" s="556"/>
      <c r="I29" s="556"/>
      <c r="J29" s="556"/>
      <c r="K29" s="556"/>
      <c r="L29" s="557"/>
      <c r="M29" s="44"/>
      <c r="N29" s="563" t="s">
        <v>1249</v>
      </c>
      <c r="O29" s="594"/>
      <c r="P29" s="595"/>
      <c r="U29" s="582">
        <v>0.45833333333333298</v>
      </c>
      <c r="V29" s="586">
        <v>0.21599999999999997</v>
      </c>
      <c r="W29" s="82">
        <v>0.37666265828627715</v>
      </c>
      <c r="X29" s="586">
        <v>0.17039999999999997</v>
      </c>
      <c r="Y29" s="82">
        <v>20.97470368226158</v>
      </c>
      <c r="Z29" s="590">
        <v>0.3579</v>
      </c>
      <c r="AA29" s="82">
        <v>0</v>
      </c>
      <c r="AB29" s="82">
        <v>0.85790000000000011</v>
      </c>
      <c r="AC29" s="82">
        <v>0.50000000000000011</v>
      </c>
      <c r="AD29" s="620">
        <v>3.4788666666666663</v>
      </c>
      <c r="AE29" s="624">
        <v>0.74951003338191302</v>
      </c>
      <c r="AF29" s="622">
        <v>2500</v>
      </c>
      <c r="AG29" s="616">
        <v>292.99588586625282</v>
      </c>
      <c r="AH29" s="56"/>
    </row>
    <row r="30" spans="1:34" ht="15.75" thickBot="1" x14ac:dyDescent="0.3">
      <c r="A30" s="504" t="s">
        <v>1618</v>
      </c>
      <c r="B30" s="505"/>
      <c r="C30" s="511"/>
      <c r="D30" s="491"/>
      <c r="E30" s="491"/>
      <c r="F30" s="491"/>
      <c r="G30" s="491"/>
      <c r="H30" s="491"/>
      <c r="I30" s="491"/>
      <c r="J30" s="491"/>
      <c r="K30" s="491"/>
      <c r="L30" s="492"/>
      <c r="M30" s="44"/>
      <c r="N30" s="592"/>
      <c r="O30" s="593"/>
      <c r="P30" s="596"/>
      <c r="Q30" s="271"/>
      <c r="U30" s="581">
        <v>0.47916666666666702</v>
      </c>
      <c r="V30" s="585">
        <v>0.21599999999999997</v>
      </c>
      <c r="W30" s="83">
        <v>0.37072466327597708</v>
      </c>
      <c r="X30" s="585">
        <v>0.17039999999999997</v>
      </c>
      <c r="Y30" s="83">
        <v>20.968129978940755</v>
      </c>
      <c r="Z30" s="589">
        <v>0.3579</v>
      </c>
      <c r="AA30" s="83">
        <v>0</v>
      </c>
      <c r="AB30" s="83">
        <v>0.85790000000000011</v>
      </c>
      <c r="AC30" s="83">
        <v>0.50000000000000011</v>
      </c>
      <c r="AD30" s="619">
        <v>3.4788666666666663</v>
      </c>
      <c r="AE30" s="625">
        <v>0.25001599405283054</v>
      </c>
      <c r="AF30" s="623">
        <v>2500</v>
      </c>
      <c r="AG30" s="615">
        <v>292.99487826633225</v>
      </c>
      <c r="AH30" s="56"/>
    </row>
    <row r="31" spans="1:34" x14ac:dyDescent="0.25">
      <c r="A31" s="506" t="s">
        <v>1200</v>
      </c>
      <c r="B31" s="507"/>
      <c r="C31" s="603"/>
      <c r="D31" s="602"/>
      <c r="E31" s="602"/>
      <c r="F31" s="602"/>
      <c r="G31" s="602"/>
      <c r="H31" s="602"/>
      <c r="I31" s="602"/>
      <c r="J31" s="602"/>
      <c r="K31" s="602"/>
      <c r="L31" s="604"/>
      <c r="M31" s="44"/>
      <c r="N31" s="640" t="s">
        <v>1641</v>
      </c>
      <c r="O31" s="420" t="s">
        <v>787</v>
      </c>
      <c r="P31" s="421">
        <v>0</v>
      </c>
      <c r="Q31" s="271"/>
      <c r="U31" s="582">
        <v>0.5</v>
      </c>
      <c r="V31" s="586">
        <v>0.21599999999999997</v>
      </c>
      <c r="W31" s="82">
        <v>0.36478670909791389</v>
      </c>
      <c r="X31" s="586">
        <v>0.17039999999999997</v>
      </c>
      <c r="Y31" s="82">
        <v>20.96155632033733</v>
      </c>
      <c r="Z31" s="590">
        <v>0.3579</v>
      </c>
      <c r="AA31" s="82">
        <v>0</v>
      </c>
      <c r="AB31" s="82">
        <v>0.3579</v>
      </c>
      <c r="AC31" s="82">
        <v>0</v>
      </c>
      <c r="AD31" s="620">
        <v>0</v>
      </c>
      <c r="AE31" s="624">
        <v>0.25001599419410869</v>
      </c>
      <c r="AF31" s="622">
        <v>2500</v>
      </c>
      <c r="AG31" s="616">
        <v>292.99387066641174</v>
      </c>
      <c r="AH31" s="56"/>
    </row>
    <row r="32" spans="1:34" ht="15.75" thickBot="1" x14ac:dyDescent="0.3">
      <c r="A32" s="508" t="s">
        <v>1651</v>
      </c>
      <c r="B32" s="509"/>
      <c r="C32" s="605"/>
      <c r="D32" s="606"/>
      <c r="E32" s="606"/>
      <c r="F32" s="606"/>
      <c r="G32" s="606"/>
      <c r="H32" s="606"/>
      <c r="I32" s="606"/>
      <c r="J32" s="606"/>
      <c r="K32" s="606"/>
      <c r="L32" s="607"/>
      <c r="M32" s="44"/>
      <c r="N32" s="648" t="s">
        <v>1642</v>
      </c>
      <c r="O32" s="220" t="s">
        <v>787</v>
      </c>
      <c r="P32" s="103">
        <v>0</v>
      </c>
      <c r="Q32" s="271"/>
      <c r="U32" s="581">
        <v>0.52083333333333304</v>
      </c>
      <c r="V32" s="585">
        <v>0.21599999999999997</v>
      </c>
      <c r="W32" s="83">
        <v>0.35884879575208756</v>
      </c>
      <c r="X32" s="585">
        <v>0.17039999999999997</v>
      </c>
      <c r="Y32" s="83">
        <v>20.9549827064513</v>
      </c>
      <c r="Z32" s="589">
        <v>0.3579</v>
      </c>
      <c r="AA32" s="83">
        <v>0</v>
      </c>
      <c r="AB32" s="83">
        <v>0.3579</v>
      </c>
      <c r="AC32" s="83">
        <v>0</v>
      </c>
      <c r="AD32" s="619">
        <v>0</v>
      </c>
      <c r="AE32" s="625">
        <v>0.25001599433538974</v>
      </c>
      <c r="AF32" s="623">
        <v>2500</v>
      </c>
      <c r="AG32" s="615">
        <v>292.99286306649122</v>
      </c>
      <c r="AH32" s="56"/>
    </row>
    <row r="33" spans="1:34" x14ac:dyDescent="0.25">
      <c r="A33" s="713" t="s">
        <v>1706</v>
      </c>
      <c r="B33" s="714"/>
      <c r="C33" s="715"/>
      <c r="D33" s="716"/>
      <c r="E33" s="716"/>
      <c r="F33" s="716"/>
      <c r="G33" s="716"/>
      <c r="H33" s="716"/>
      <c r="I33" s="716"/>
      <c r="J33" s="716"/>
      <c r="K33" s="716"/>
      <c r="L33" s="717"/>
      <c r="M33" s="44"/>
      <c r="N33" s="649" t="s">
        <v>1643</v>
      </c>
      <c r="O33" s="219" t="s">
        <v>787</v>
      </c>
      <c r="P33" s="102">
        <v>0</v>
      </c>
      <c r="Q33" s="271"/>
      <c r="U33" s="582">
        <v>0.54166666666666696</v>
      </c>
      <c r="V33" s="586">
        <v>0.21599999999999997</v>
      </c>
      <c r="W33" s="82">
        <v>0.35291092323849799</v>
      </c>
      <c r="X33" s="586">
        <v>0.17039999999999997</v>
      </c>
      <c r="Y33" s="82">
        <v>20.94840913728266</v>
      </c>
      <c r="Z33" s="590">
        <v>0.3579</v>
      </c>
      <c r="AA33" s="82">
        <v>0</v>
      </c>
      <c r="AB33" s="82">
        <v>0.3579</v>
      </c>
      <c r="AC33" s="82">
        <v>0</v>
      </c>
      <c r="AD33" s="620">
        <v>0</v>
      </c>
      <c r="AE33" s="624">
        <v>0.25001599447667328</v>
      </c>
      <c r="AF33" s="622">
        <v>2500</v>
      </c>
      <c r="AG33" s="616">
        <v>292.99185546657066</v>
      </c>
      <c r="AH33" s="56"/>
    </row>
    <row r="34" spans="1:34" x14ac:dyDescent="0.25">
      <c r="A34" s="718" t="s">
        <v>1200</v>
      </c>
      <c r="B34" s="719"/>
      <c r="C34" s="720"/>
      <c r="D34" s="721"/>
      <c r="E34" s="721"/>
      <c r="F34" s="721"/>
      <c r="G34" s="721"/>
      <c r="H34" s="721"/>
      <c r="I34" s="721"/>
      <c r="J34" s="721"/>
      <c r="K34" s="721"/>
      <c r="L34" s="722"/>
      <c r="M34" s="44"/>
      <c r="N34" s="648" t="s">
        <v>1644</v>
      </c>
      <c r="O34" s="220" t="s">
        <v>787</v>
      </c>
      <c r="P34" s="103">
        <v>0</v>
      </c>
      <c r="Q34" s="271"/>
      <c r="U34" s="581">
        <v>0.5625</v>
      </c>
      <c r="V34" s="585">
        <v>0.21599999999999997</v>
      </c>
      <c r="W34" s="83">
        <v>0.34697309155714534</v>
      </c>
      <c r="X34" s="585">
        <v>0.17039999999999997</v>
      </c>
      <c r="Y34" s="83">
        <v>20.941835612831415</v>
      </c>
      <c r="Z34" s="589">
        <v>0.3579</v>
      </c>
      <c r="AA34" s="83">
        <v>0</v>
      </c>
      <c r="AB34" s="83">
        <v>0.3579</v>
      </c>
      <c r="AC34" s="83">
        <v>0</v>
      </c>
      <c r="AD34" s="619">
        <v>0</v>
      </c>
      <c r="AE34" s="625">
        <v>0.25001599461795726</v>
      </c>
      <c r="AF34" s="623">
        <v>2500</v>
      </c>
      <c r="AG34" s="615">
        <v>292.99084786665014</v>
      </c>
      <c r="AH34" s="56"/>
    </row>
    <row r="35" spans="1:34" x14ac:dyDescent="0.25">
      <c r="A35" s="718" t="s">
        <v>1649</v>
      </c>
      <c r="B35" s="719"/>
      <c r="C35" s="728"/>
      <c r="D35" s="729"/>
      <c r="E35" s="729"/>
      <c r="F35" s="729"/>
      <c r="G35" s="729"/>
      <c r="H35" s="729"/>
      <c r="I35" s="729"/>
      <c r="J35" s="729"/>
      <c r="K35" s="729"/>
      <c r="L35" s="730"/>
      <c r="M35" s="44"/>
      <c r="N35" s="649" t="s">
        <v>1645</v>
      </c>
      <c r="O35" s="219" t="s">
        <v>787</v>
      </c>
      <c r="P35" s="102">
        <v>0</v>
      </c>
      <c r="Q35" s="271"/>
      <c r="U35" s="582">
        <v>0.58333333333333304</v>
      </c>
      <c r="V35" s="586">
        <v>0.21599999999999997</v>
      </c>
      <c r="W35" s="82">
        <v>0.34103530070802945</v>
      </c>
      <c r="X35" s="586">
        <v>0.17039999999999997</v>
      </c>
      <c r="Y35" s="82">
        <v>20.935262133097563</v>
      </c>
      <c r="Z35" s="590">
        <v>0.3579</v>
      </c>
      <c r="AA35" s="82">
        <v>0</v>
      </c>
      <c r="AB35" s="82">
        <v>0.3579</v>
      </c>
      <c r="AC35" s="82">
        <v>0</v>
      </c>
      <c r="AD35" s="620">
        <v>0</v>
      </c>
      <c r="AE35" s="624">
        <v>0.25001599475924385</v>
      </c>
      <c r="AF35" s="622">
        <v>2500</v>
      </c>
      <c r="AG35" s="616">
        <v>292.98984026672963</v>
      </c>
      <c r="AH35" s="56"/>
    </row>
    <row r="36" spans="1:34" ht="15.75" thickBot="1" x14ac:dyDescent="0.3">
      <c r="A36" s="723" t="s">
        <v>1651</v>
      </c>
      <c r="B36" s="724"/>
      <c r="C36" s="725"/>
      <c r="D36" s="726"/>
      <c r="E36" s="726"/>
      <c r="F36" s="726"/>
      <c r="G36" s="726"/>
      <c r="H36" s="726"/>
      <c r="I36" s="726"/>
      <c r="J36" s="726"/>
      <c r="K36" s="726"/>
      <c r="L36" s="727"/>
      <c r="M36" s="44"/>
      <c r="N36" s="648" t="s">
        <v>33</v>
      </c>
      <c r="O36" s="220" t="s">
        <v>787</v>
      </c>
      <c r="P36" s="103">
        <v>0</v>
      </c>
      <c r="Q36" s="271"/>
      <c r="U36" s="581">
        <v>0.60416666666666696</v>
      </c>
      <c r="V36" s="585">
        <v>1.4954999999999998</v>
      </c>
      <c r="W36" s="83">
        <v>0.33509755069115044</v>
      </c>
      <c r="X36" s="585">
        <v>1.1820000000000002</v>
      </c>
      <c r="Y36" s="83">
        <v>20.928688698081107</v>
      </c>
      <c r="Z36" s="589">
        <v>2.6997</v>
      </c>
      <c r="AA36" s="83">
        <v>0</v>
      </c>
      <c r="AB36" s="83">
        <v>2.6997</v>
      </c>
      <c r="AC36" s="83">
        <v>0</v>
      </c>
      <c r="AD36" s="619">
        <v>0</v>
      </c>
      <c r="AE36" s="625">
        <v>0.25001599490053222</v>
      </c>
      <c r="AF36" s="623">
        <v>10292.5</v>
      </c>
      <c r="AG36" s="615">
        <v>292.98883266680912</v>
      </c>
      <c r="AH36" s="56"/>
    </row>
    <row r="37" spans="1:34" x14ac:dyDescent="0.25">
      <c r="A37" s="740" t="s">
        <v>1727</v>
      </c>
      <c r="B37" s="741"/>
      <c r="C37" s="742"/>
      <c r="D37" s="743"/>
      <c r="E37" s="743"/>
      <c r="F37" s="743"/>
      <c r="G37" s="743"/>
      <c r="H37" s="743"/>
      <c r="I37" s="743"/>
      <c r="J37" s="743"/>
      <c r="K37" s="743"/>
      <c r="L37" s="744"/>
      <c r="M37" s="44"/>
      <c r="N37" s="649" t="s">
        <v>1626</v>
      </c>
      <c r="O37" s="219" t="s">
        <v>787</v>
      </c>
      <c r="P37" s="102">
        <v>0</v>
      </c>
      <c r="Q37" s="271"/>
      <c r="U37" s="581"/>
      <c r="V37" s="585">
        <v>0.21599999999999997</v>
      </c>
      <c r="W37" s="83">
        <v>0.61250854976105951</v>
      </c>
      <c r="X37" s="585">
        <v>0.17039999999999997</v>
      </c>
      <c r="Y37" s="83">
        <v>21.232054875173979</v>
      </c>
      <c r="Z37" s="589">
        <v>1.4109</v>
      </c>
      <c r="AA37" s="83">
        <v>0</v>
      </c>
      <c r="AB37" s="83">
        <v>1.9109000000000003</v>
      </c>
      <c r="AC37" s="83">
        <v>0.50000000000000011</v>
      </c>
      <c r="AD37" s="619">
        <v>1.9396124999999997</v>
      </c>
      <c r="AE37" s="625">
        <v>0.74880615026977981</v>
      </c>
      <c r="AF37" s="623">
        <v>5873.75</v>
      </c>
      <c r="AG37" s="615">
        <v>293.0139249750797</v>
      </c>
      <c r="AH37" s="56"/>
    </row>
    <row r="38" spans="1:34" x14ac:dyDescent="0.25">
      <c r="A38" s="740" t="s">
        <v>1200</v>
      </c>
      <c r="B38" s="741"/>
      <c r="C38" s="745"/>
      <c r="D38" s="535"/>
      <c r="E38" s="535"/>
      <c r="F38" s="535"/>
      <c r="G38" s="535"/>
      <c r="H38" s="535"/>
      <c r="I38" s="745"/>
      <c r="J38" s="535"/>
      <c r="K38" s="535"/>
      <c r="L38" s="536"/>
      <c r="M38" s="44"/>
      <c r="N38" s="648" t="s">
        <v>1233</v>
      </c>
      <c r="O38" s="220" t="s">
        <v>787</v>
      </c>
      <c r="P38" s="103">
        <v>0</v>
      </c>
      <c r="Q38" s="271"/>
      <c r="U38" s="581"/>
      <c r="V38" s="585">
        <v>0.21599999999999997</v>
      </c>
      <c r="W38" s="83">
        <v>0.60659277038292292</v>
      </c>
      <c r="X38" s="585">
        <v>0.17039999999999997</v>
      </c>
      <c r="Y38" s="83">
        <v>21.226298442180457</v>
      </c>
      <c r="Z38" s="589">
        <v>1.4109</v>
      </c>
      <c r="AA38" s="83">
        <v>0</v>
      </c>
      <c r="AB38" s="83">
        <v>1.9109000000000003</v>
      </c>
      <c r="AC38" s="83">
        <v>0.50000000000000011</v>
      </c>
      <c r="AD38" s="619">
        <v>1.9396124999999997</v>
      </c>
      <c r="AE38" s="625">
        <v>0.74951015501043328</v>
      </c>
      <c r="AF38" s="623">
        <v>5873.75</v>
      </c>
      <c r="AG38" s="615">
        <v>293.02421728728751</v>
      </c>
      <c r="AH38" s="56"/>
    </row>
    <row r="39" spans="1:34" ht="15.75" thickBot="1" x14ac:dyDescent="0.3">
      <c r="A39" s="740" t="s">
        <v>1728</v>
      </c>
      <c r="B39" s="741"/>
      <c r="C39" s="742"/>
      <c r="D39" s="743"/>
      <c r="E39" s="743"/>
      <c r="F39" s="743"/>
      <c r="G39" s="743"/>
      <c r="H39" s="743"/>
      <c r="I39" s="743"/>
      <c r="J39" s="743"/>
      <c r="K39" s="743"/>
      <c r="L39" s="744"/>
      <c r="M39" s="44"/>
      <c r="N39" s="649" t="s">
        <v>1234</v>
      </c>
      <c r="O39" s="219" t="s">
        <v>787</v>
      </c>
      <c r="P39" s="102">
        <v>0</v>
      </c>
      <c r="Q39" s="271"/>
      <c r="U39" s="581"/>
      <c r="V39" s="585">
        <v>0.21599999999999997</v>
      </c>
      <c r="W39" s="83">
        <v>0.60067657391649465</v>
      </c>
      <c r="X39" s="585">
        <v>0.17039999999999997</v>
      </c>
      <c r="Y39" s="83">
        <v>21.220541552413007</v>
      </c>
      <c r="Z39" s="589">
        <v>0.3579</v>
      </c>
      <c r="AA39" s="83">
        <v>0</v>
      </c>
      <c r="AB39" s="83">
        <v>0.3579</v>
      </c>
      <c r="AC39" s="83">
        <v>0</v>
      </c>
      <c r="AD39" s="619">
        <v>0</v>
      </c>
      <c r="AE39" s="625">
        <v>0.74951019918474482</v>
      </c>
      <c r="AF39" s="623">
        <v>2500</v>
      </c>
      <c r="AG39" s="615">
        <v>293.03450959949532</v>
      </c>
      <c r="AH39" s="56"/>
    </row>
    <row r="40" spans="1:34" x14ac:dyDescent="0.25">
      <c r="A40" s="493" t="s">
        <v>1620</v>
      </c>
      <c r="B40" s="494"/>
      <c r="C40" s="515"/>
      <c r="D40" s="516"/>
      <c r="E40" s="516"/>
      <c r="F40" s="516"/>
      <c r="G40" s="516"/>
      <c r="H40" s="516"/>
      <c r="I40" s="516"/>
      <c r="J40" s="516"/>
      <c r="K40" s="516"/>
      <c r="L40" s="517"/>
      <c r="M40" s="44"/>
      <c r="N40" s="650" t="s">
        <v>1630</v>
      </c>
      <c r="O40" s="642" t="s">
        <v>787</v>
      </c>
      <c r="P40" s="643">
        <v>0</v>
      </c>
      <c r="Q40" s="86"/>
      <c r="R40" s="86"/>
      <c r="S40" s="86"/>
      <c r="U40" s="581">
        <v>0.625</v>
      </c>
      <c r="V40" s="585">
        <v>0.21599999999999997</v>
      </c>
      <c r="W40" s="83">
        <v>0.59473702620547597</v>
      </c>
      <c r="X40" s="585">
        <v>0.17039999999999997</v>
      </c>
      <c r="Y40" s="83">
        <v>21.213966156222615</v>
      </c>
      <c r="Z40" s="589">
        <v>0.3579</v>
      </c>
      <c r="AA40" s="83">
        <v>0</v>
      </c>
      <c r="AB40" s="83">
        <v>0.3579</v>
      </c>
      <c r="AC40" s="83">
        <v>0</v>
      </c>
      <c r="AD40" s="619">
        <v>0</v>
      </c>
      <c r="AE40" s="625">
        <v>0.25001598863867192</v>
      </c>
      <c r="AF40" s="623">
        <v>2500</v>
      </c>
      <c r="AG40" s="615">
        <v>293.03350199957481</v>
      </c>
      <c r="AH40" s="56"/>
    </row>
    <row r="41" spans="1:34" x14ac:dyDescent="0.25">
      <c r="A41" s="843" t="s">
        <v>1619</v>
      </c>
      <c r="B41" s="844"/>
      <c r="C41" s="433"/>
      <c r="D41" s="272"/>
      <c r="E41" s="272"/>
      <c r="F41" s="272"/>
      <c r="G41" s="272"/>
      <c r="H41" s="272"/>
      <c r="I41" s="272"/>
      <c r="J41" s="272"/>
      <c r="K41" s="272"/>
      <c r="L41" s="432"/>
      <c r="M41" s="44"/>
      <c r="N41" s="649" t="s">
        <v>1217</v>
      </c>
      <c r="O41" s="219" t="s">
        <v>787</v>
      </c>
      <c r="P41" s="102">
        <v>0</v>
      </c>
      <c r="Q41" s="86"/>
      <c r="R41" s="86"/>
      <c r="S41" s="86"/>
      <c r="U41" s="581">
        <v>0.64583333333333304</v>
      </c>
      <c r="V41" s="585">
        <v>0.21599999999999997</v>
      </c>
      <c r="W41" s="83">
        <v>0.58879751932669411</v>
      </c>
      <c r="X41" s="585">
        <v>0.17039999999999997</v>
      </c>
      <c r="Y41" s="83">
        <v>21.207390804749611</v>
      </c>
      <c r="Z41" s="589">
        <v>0.3579</v>
      </c>
      <c r="AA41" s="83">
        <v>0</v>
      </c>
      <c r="AB41" s="83">
        <v>0.85790000000000011</v>
      </c>
      <c r="AC41" s="83">
        <v>0.50000000000000011</v>
      </c>
      <c r="AD41" s="619">
        <v>3.4788666666666663</v>
      </c>
      <c r="AE41" s="625">
        <v>0.25001598877988024</v>
      </c>
      <c r="AF41" s="623">
        <v>2500</v>
      </c>
      <c r="AG41" s="615">
        <v>293.03249439965424</v>
      </c>
      <c r="AH41" s="56"/>
    </row>
    <row r="42" spans="1:34" ht="15.75" thickBot="1" x14ac:dyDescent="0.3">
      <c r="A42" s="845" t="s">
        <v>1624</v>
      </c>
      <c r="B42" s="846"/>
      <c r="C42" s="512"/>
      <c r="D42" s="513"/>
      <c r="E42" s="513"/>
      <c r="F42" s="513"/>
      <c r="G42" s="513"/>
      <c r="H42" s="513"/>
      <c r="I42" s="513"/>
      <c r="J42" s="513"/>
      <c r="K42" s="513"/>
      <c r="L42" s="514"/>
      <c r="M42" s="44"/>
      <c r="N42" s="651" t="s">
        <v>1707</v>
      </c>
      <c r="O42" s="647" t="s">
        <v>787</v>
      </c>
      <c r="P42" s="657">
        <v>0</v>
      </c>
      <c r="Q42" s="86"/>
      <c r="R42" s="86"/>
      <c r="S42" s="86"/>
      <c r="U42" s="582">
        <v>0.66666666666666696</v>
      </c>
      <c r="V42" s="586">
        <v>0.21599999999999997</v>
      </c>
      <c r="W42" s="82">
        <v>0.58285805328014906</v>
      </c>
      <c r="X42" s="586">
        <v>0.17039999999999997</v>
      </c>
      <c r="Y42" s="82">
        <v>21.200815497994007</v>
      </c>
      <c r="Z42" s="590">
        <v>0.3579</v>
      </c>
      <c r="AA42" s="82">
        <v>0</v>
      </c>
      <c r="AB42" s="82">
        <v>0.85790000000000011</v>
      </c>
      <c r="AC42" s="82">
        <v>0.50000000000000011</v>
      </c>
      <c r="AD42" s="620">
        <v>3.4788666666666663</v>
      </c>
      <c r="AE42" s="624">
        <v>0.25001598892108862</v>
      </c>
      <c r="AF42" s="622">
        <v>2500</v>
      </c>
      <c r="AG42" s="616">
        <v>293.03148679973373</v>
      </c>
      <c r="AH42" s="56"/>
    </row>
    <row r="43" spans="1:34" x14ac:dyDescent="0.25">
      <c r="A43" s="493" t="s">
        <v>1613</v>
      </c>
      <c r="B43" s="494"/>
      <c r="C43" s="515"/>
      <c r="D43" s="516"/>
      <c r="E43" s="516"/>
      <c r="F43" s="516"/>
      <c r="G43" s="516"/>
      <c r="H43" s="516"/>
      <c r="I43" s="516"/>
      <c r="J43" s="516"/>
      <c r="K43" s="516"/>
      <c r="L43" s="517"/>
      <c r="M43" s="44"/>
      <c r="N43" s="649" t="s">
        <v>1715</v>
      </c>
      <c r="O43" s="219" t="s">
        <v>787</v>
      </c>
      <c r="P43" s="102">
        <v>0</v>
      </c>
      <c r="Q43" s="86"/>
      <c r="R43" s="86"/>
      <c r="S43" s="86"/>
      <c r="U43" s="581">
        <v>0.6875</v>
      </c>
      <c r="V43" s="585">
        <v>0.21599999999999997</v>
      </c>
      <c r="W43" s="83">
        <v>0.57691862806584093</v>
      </c>
      <c r="X43" s="585">
        <v>0.17039999999999997</v>
      </c>
      <c r="Y43" s="83">
        <v>21.194240235955796</v>
      </c>
      <c r="Z43" s="589">
        <v>0.3579</v>
      </c>
      <c r="AA43" s="83">
        <v>0</v>
      </c>
      <c r="AB43" s="83">
        <v>0.3579</v>
      </c>
      <c r="AC43" s="83">
        <v>0</v>
      </c>
      <c r="AD43" s="619">
        <v>0</v>
      </c>
      <c r="AE43" s="625">
        <v>0.25001598906229971</v>
      </c>
      <c r="AF43" s="623">
        <v>2500</v>
      </c>
      <c r="AG43" s="615">
        <v>293.03047919981321</v>
      </c>
      <c r="AH43" s="56"/>
    </row>
    <row r="44" spans="1:34" ht="15.75" thickBot="1" x14ac:dyDescent="0.3">
      <c r="A44" s="125" t="s">
        <v>1614</v>
      </c>
      <c r="B44" s="429"/>
      <c r="C44" s="518"/>
      <c r="D44" s="519"/>
      <c r="E44" s="519"/>
      <c r="F44" s="519"/>
      <c r="G44" s="519"/>
      <c r="H44" s="519"/>
      <c r="I44" s="519"/>
      <c r="J44" s="519"/>
      <c r="K44" s="519"/>
      <c r="L44" s="484"/>
      <c r="M44" s="44"/>
      <c r="N44" s="651" t="s">
        <v>1716</v>
      </c>
      <c r="O44" s="647" t="s">
        <v>787</v>
      </c>
      <c r="P44" s="657">
        <v>0</v>
      </c>
      <c r="Q44" s="86"/>
      <c r="R44" s="86"/>
      <c r="S44" s="86"/>
      <c r="U44" s="582">
        <v>0.70833333333333304</v>
      </c>
      <c r="V44" s="586">
        <v>0.21599999999999997</v>
      </c>
      <c r="W44" s="82">
        <v>0.57097924368376962</v>
      </c>
      <c r="X44" s="586">
        <v>0.17039999999999997</v>
      </c>
      <c r="Y44" s="82">
        <v>21.187665018634981</v>
      </c>
      <c r="Z44" s="590">
        <v>0.3579</v>
      </c>
      <c r="AA44" s="82">
        <v>0</v>
      </c>
      <c r="AB44" s="82">
        <v>0.3579</v>
      </c>
      <c r="AC44" s="82">
        <v>0</v>
      </c>
      <c r="AD44" s="620">
        <v>0</v>
      </c>
      <c r="AE44" s="624">
        <v>0.25001598920351276</v>
      </c>
      <c r="AF44" s="622">
        <v>2500</v>
      </c>
      <c r="AG44" s="616">
        <v>293.0294715998927</v>
      </c>
      <c r="AH44" s="56"/>
    </row>
    <row r="45" spans="1:34" x14ac:dyDescent="0.25">
      <c r="A45" s="441" t="s">
        <v>1263</v>
      </c>
      <c r="B45" s="662" t="s">
        <v>787</v>
      </c>
      <c r="C45" s="698"/>
      <c r="D45" s="699"/>
      <c r="E45" s="699"/>
      <c r="F45" s="699"/>
      <c r="G45" s="699"/>
      <c r="H45" s="699"/>
      <c r="I45" s="699"/>
      <c r="J45" s="699"/>
      <c r="K45" s="699"/>
      <c r="L45" s="700"/>
      <c r="M45" s="44"/>
      <c r="N45" s="649" t="s">
        <v>1730</v>
      </c>
      <c r="O45" s="219" t="s">
        <v>787</v>
      </c>
      <c r="P45" s="102">
        <v>500</v>
      </c>
      <c r="Q45" s="86"/>
      <c r="R45" s="86"/>
      <c r="S45" s="86"/>
      <c r="U45" s="581">
        <v>0.72916666666666696</v>
      </c>
      <c r="V45" s="585">
        <v>0.21599999999999997</v>
      </c>
      <c r="W45" s="83">
        <v>0.56503990013393501</v>
      </c>
      <c r="X45" s="585">
        <v>0.17039999999999997</v>
      </c>
      <c r="Y45" s="83">
        <v>21.181089846031551</v>
      </c>
      <c r="Z45" s="589">
        <v>0.3579</v>
      </c>
      <c r="AA45" s="83">
        <v>0</v>
      </c>
      <c r="AB45" s="83">
        <v>0.3579</v>
      </c>
      <c r="AC45" s="83">
        <v>0</v>
      </c>
      <c r="AD45" s="619">
        <v>0</v>
      </c>
      <c r="AE45" s="625">
        <v>0.25001598934472841</v>
      </c>
      <c r="AF45" s="623">
        <v>2500</v>
      </c>
      <c r="AG45" s="615">
        <v>293.02846399997213</v>
      </c>
      <c r="AH45" s="56"/>
    </row>
    <row r="46" spans="1:34" ht="15.75" thickBot="1" x14ac:dyDescent="0.3">
      <c r="A46" s="433" t="s">
        <v>1667</v>
      </c>
      <c r="B46" s="571" t="s">
        <v>1236</v>
      </c>
      <c r="C46" s="692"/>
      <c r="D46" s="693"/>
      <c r="E46" s="693"/>
      <c r="F46" s="693"/>
      <c r="G46" s="693"/>
      <c r="H46" s="693"/>
      <c r="I46" s="693"/>
      <c r="J46" s="693"/>
      <c r="K46" s="693"/>
      <c r="L46" s="694"/>
      <c r="M46" s="44"/>
      <c r="N46" s="737" t="s">
        <v>1631</v>
      </c>
      <c r="O46" s="738" t="s">
        <v>787</v>
      </c>
      <c r="P46" s="739">
        <v>0</v>
      </c>
      <c r="Q46" s="86"/>
      <c r="R46" s="86"/>
      <c r="S46" s="86"/>
      <c r="U46" s="582">
        <v>0.75</v>
      </c>
      <c r="V46" s="586">
        <v>0.21599999999999997</v>
      </c>
      <c r="W46" s="82">
        <v>0.55910059741633733</v>
      </c>
      <c r="X46" s="586">
        <v>0.17039999999999997</v>
      </c>
      <c r="Y46" s="82">
        <v>21.174514718145524</v>
      </c>
      <c r="Z46" s="590">
        <v>0.3579</v>
      </c>
      <c r="AA46" s="82">
        <v>0</v>
      </c>
      <c r="AB46" s="82">
        <v>0.3579</v>
      </c>
      <c r="AC46" s="82">
        <v>0</v>
      </c>
      <c r="AD46" s="620">
        <v>0</v>
      </c>
      <c r="AE46" s="624">
        <v>0.25001598948594417</v>
      </c>
      <c r="AF46" s="622">
        <v>2500</v>
      </c>
      <c r="AG46" s="616">
        <v>293.02745640005162</v>
      </c>
      <c r="AH46" s="56"/>
    </row>
    <row r="47" spans="1:34" x14ac:dyDescent="0.25">
      <c r="A47" s="648" t="s">
        <v>68</v>
      </c>
      <c r="B47" s="661" t="s">
        <v>787</v>
      </c>
      <c r="C47" s="695"/>
      <c r="D47" s="696"/>
      <c r="E47" s="696"/>
      <c r="F47" s="696"/>
      <c r="G47" s="696"/>
      <c r="H47" s="696"/>
      <c r="I47" s="696"/>
      <c r="J47" s="696"/>
      <c r="K47" s="696"/>
      <c r="L47" s="697"/>
      <c r="M47" s="44"/>
      <c r="Q47" s="86"/>
      <c r="R47" s="86"/>
      <c r="S47" s="86"/>
      <c r="U47" s="581">
        <v>0.77083333333333304</v>
      </c>
      <c r="V47" s="585">
        <v>0.21599999999999997</v>
      </c>
      <c r="W47" s="83">
        <v>0.55316133553097657</v>
      </c>
      <c r="X47" s="585">
        <v>0.17039999999999997</v>
      </c>
      <c r="Y47" s="83">
        <v>21.167939634976886</v>
      </c>
      <c r="Z47" s="589">
        <v>0.3579</v>
      </c>
      <c r="AA47" s="83">
        <v>2.6666666666666665</v>
      </c>
      <c r="AB47" s="83">
        <v>0.3579</v>
      </c>
      <c r="AC47" s="83">
        <v>0</v>
      </c>
      <c r="AD47" s="619">
        <v>0</v>
      </c>
      <c r="AE47" s="625">
        <v>0.25001598962716293</v>
      </c>
      <c r="AF47" s="623">
        <v>2500</v>
      </c>
      <c r="AG47" s="615">
        <v>293.02644880013111</v>
      </c>
      <c r="AH47" s="56"/>
    </row>
    <row r="48" spans="1:34" x14ac:dyDescent="0.25">
      <c r="A48" s="433" t="s">
        <v>941</v>
      </c>
      <c r="B48" s="571" t="s">
        <v>787</v>
      </c>
      <c r="C48" s="692"/>
      <c r="D48" s="693"/>
      <c r="E48" s="693"/>
      <c r="F48" s="693"/>
      <c r="G48" s="693"/>
      <c r="H48" s="693"/>
      <c r="I48" s="693"/>
      <c r="J48" s="693"/>
      <c r="K48" s="693"/>
      <c r="L48" s="694"/>
      <c r="M48" s="44"/>
      <c r="Q48" s="86"/>
      <c r="R48" s="86"/>
      <c r="S48" s="86"/>
      <c r="U48" s="582">
        <v>0.79166666666666696</v>
      </c>
      <c r="V48" s="586">
        <v>0.21599999999999997</v>
      </c>
      <c r="W48" s="82">
        <v>0.54722211447785241</v>
      </c>
      <c r="X48" s="586">
        <v>0.17039999999999997</v>
      </c>
      <c r="Y48" s="82">
        <v>21.16136459652564</v>
      </c>
      <c r="Z48" s="590">
        <v>0.3579</v>
      </c>
      <c r="AA48" s="82">
        <v>2.6666666666666665</v>
      </c>
      <c r="AB48" s="82">
        <v>0.3579</v>
      </c>
      <c r="AC48" s="82">
        <v>0</v>
      </c>
      <c r="AD48" s="620">
        <v>0</v>
      </c>
      <c r="AE48" s="624">
        <v>0.25001598976838424</v>
      </c>
      <c r="AF48" s="622">
        <v>2500</v>
      </c>
      <c r="AG48" s="616">
        <v>293.02544120021054</v>
      </c>
      <c r="AH48" s="56"/>
    </row>
    <row r="49" spans="1:34" x14ac:dyDescent="0.25">
      <c r="A49" s="648" t="s">
        <v>942</v>
      </c>
      <c r="B49" s="661" t="s">
        <v>787</v>
      </c>
      <c r="C49" s="695"/>
      <c r="D49" s="696"/>
      <c r="E49" s="696"/>
      <c r="F49" s="696"/>
      <c r="G49" s="696"/>
      <c r="H49" s="696"/>
      <c r="I49" s="696"/>
      <c r="J49" s="696"/>
      <c r="K49" s="696"/>
      <c r="L49" s="697"/>
      <c r="M49" s="44"/>
      <c r="Q49" s="86"/>
      <c r="R49" s="86"/>
      <c r="S49" s="86"/>
      <c r="U49" s="581">
        <v>0.8125</v>
      </c>
      <c r="V49" s="585">
        <v>0.13650000000000001</v>
      </c>
      <c r="W49" s="83">
        <v>0.54128293425696528</v>
      </c>
      <c r="X49" s="585">
        <v>0.10799999999999998</v>
      </c>
      <c r="Y49" s="83">
        <v>21.154789602791794</v>
      </c>
      <c r="Z49" s="589">
        <v>0.1938</v>
      </c>
      <c r="AA49" s="83">
        <v>0</v>
      </c>
      <c r="AB49" s="83">
        <v>0.1938</v>
      </c>
      <c r="AC49" s="83">
        <v>0</v>
      </c>
      <c r="AD49" s="619">
        <v>0</v>
      </c>
      <c r="AE49" s="625">
        <v>0.25001598990960555</v>
      </c>
      <c r="AF49" s="623">
        <v>1585</v>
      </c>
      <c r="AG49" s="615">
        <v>293.02443360029002</v>
      </c>
      <c r="AH49" s="56"/>
    </row>
    <row r="50" spans="1:34" x14ac:dyDescent="0.25">
      <c r="A50" s="433" t="s">
        <v>128</v>
      </c>
      <c r="B50" s="571" t="s">
        <v>787</v>
      </c>
      <c r="C50" s="692"/>
      <c r="D50" s="693"/>
      <c r="E50" s="693"/>
      <c r="F50" s="693"/>
      <c r="G50" s="693"/>
      <c r="H50" s="693"/>
      <c r="I50" s="693"/>
      <c r="J50" s="693"/>
      <c r="K50" s="693"/>
      <c r="L50" s="694"/>
      <c r="M50" s="44"/>
      <c r="Q50" s="86"/>
      <c r="R50" s="86"/>
      <c r="S50" s="86"/>
      <c r="U50" s="582">
        <v>0.83333333333333304</v>
      </c>
      <c r="V50" s="586">
        <v>0.13650000000000001</v>
      </c>
      <c r="W50" s="82">
        <v>0.51773414271700746</v>
      </c>
      <c r="X50" s="586">
        <v>0.10799999999999998</v>
      </c>
      <c r="Y50" s="82">
        <v>21.128989563301563</v>
      </c>
      <c r="Z50" s="590">
        <v>0.1938</v>
      </c>
      <c r="AA50" s="82">
        <v>0</v>
      </c>
      <c r="AB50" s="82">
        <v>0.1938</v>
      </c>
      <c r="AC50" s="82">
        <v>0</v>
      </c>
      <c r="AD50" s="620">
        <v>0</v>
      </c>
      <c r="AE50" s="624">
        <v>0.25006463176431093</v>
      </c>
      <c r="AF50" s="622">
        <v>1585</v>
      </c>
      <c r="AG50" s="616">
        <v>293.02036133357518</v>
      </c>
      <c r="AH50" s="56"/>
    </row>
    <row r="51" spans="1:34" x14ac:dyDescent="0.25">
      <c r="A51" s="648" t="s">
        <v>1561</v>
      </c>
      <c r="B51" s="661" t="s">
        <v>787</v>
      </c>
      <c r="C51" s="695"/>
      <c r="D51" s="696"/>
      <c r="E51" s="696"/>
      <c r="F51" s="696"/>
      <c r="G51" s="696"/>
      <c r="H51" s="696"/>
      <c r="I51" s="696"/>
      <c r="J51" s="696"/>
      <c r="K51" s="696"/>
      <c r="L51" s="697"/>
      <c r="M51" s="44"/>
      <c r="N51" s="86"/>
      <c r="O51" s="86"/>
      <c r="P51" s="86"/>
      <c r="Q51" s="86"/>
      <c r="R51" s="86"/>
      <c r="S51" s="86"/>
      <c r="U51" s="581">
        <v>0.85416666666666696</v>
      </c>
      <c r="V51" s="585">
        <v>0.13650000000000001</v>
      </c>
      <c r="W51" s="83">
        <v>0.49418600550923508</v>
      </c>
      <c r="X51" s="585">
        <v>0.10799999999999998</v>
      </c>
      <c r="Y51" s="83">
        <v>21.103190232754645</v>
      </c>
      <c r="Z51" s="589">
        <v>0.1938</v>
      </c>
      <c r="AA51" s="83">
        <v>0</v>
      </c>
      <c r="AB51" s="83">
        <v>0.1938</v>
      </c>
      <c r="AC51" s="83">
        <v>0</v>
      </c>
      <c r="AD51" s="619">
        <v>0</v>
      </c>
      <c r="AE51" s="625">
        <v>0.25006463407165969</v>
      </c>
      <c r="AF51" s="623">
        <v>1585</v>
      </c>
      <c r="AG51" s="615">
        <v>293.01628906686028</v>
      </c>
      <c r="AH51" s="56"/>
    </row>
    <row r="52" spans="1:34" x14ac:dyDescent="0.25">
      <c r="A52" s="648" t="s">
        <v>1706</v>
      </c>
      <c r="B52" s="661" t="s">
        <v>787</v>
      </c>
      <c r="C52" s="695"/>
      <c r="D52" s="696"/>
      <c r="E52" s="696"/>
      <c r="F52" s="696"/>
      <c r="G52" s="696"/>
      <c r="H52" s="696"/>
      <c r="I52" s="696"/>
      <c r="J52" s="696"/>
      <c r="K52" s="696"/>
      <c r="L52" s="697"/>
      <c r="M52" s="44"/>
      <c r="N52" s="86"/>
      <c r="O52" s="86"/>
      <c r="P52" s="86"/>
      <c r="Q52" s="86"/>
      <c r="R52" s="86"/>
      <c r="S52" s="86"/>
      <c r="U52" s="582">
        <v>0.875</v>
      </c>
      <c r="V52" s="586">
        <v>0.13650000000000001</v>
      </c>
      <c r="W52" s="82">
        <v>0.47063852263364836</v>
      </c>
      <c r="X52" s="586">
        <v>0.10799999999999998</v>
      </c>
      <c r="Y52" s="82">
        <v>21.077391611151043</v>
      </c>
      <c r="Z52" s="590">
        <v>0.1938</v>
      </c>
      <c r="AA52" s="82">
        <v>0</v>
      </c>
      <c r="AB52" s="82">
        <v>0.1938</v>
      </c>
      <c r="AC52" s="82">
        <v>0</v>
      </c>
      <c r="AD52" s="620">
        <v>0</v>
      </c>
      <c r="AE52" s="624">
        <v>0.25006463637913007</v>
      </c>
      <c r="AF52" s="622">
        <v>1585</v>
      </c>
      <c r="AG52" s="616">
        <v>293.01221680014544</v>
      </c>
      <c r="AH52" s="56"/>
    </row>
    <row r="53" spans="1:34" x14ac:dyDescent="0.25">
      <c r="A53" s="648" t="s">
        <v>1729</v>
      </c>
      <c r="B53" s="661" t="s">
        <v>787</v>
      </c>
      <c r="C53" s="695"/>
      <c r="D53" s="696"/>
      <c r="E53" s="696"/>
      <c r="F53" s="696"/>
      <c r="G53" s="696"/>
      <c r="H53" s="696"/>
      <c r="I53" s="696"/>
      <c r="J53" s="696"/>
      <c r="K53" s="696"/>
      <c r="L53" s="697"/>
      <c r="M53" s="44"/>
      <c r="N53" s="86"/>
      <c r="O53" s="86"/>
      <c r="P53" s="86"/>
      <c r="Q53" s="86"/>
      <c r="R53" s="86"/>
      <c r="S53" s="86"/>
      <c r="U53" s="582">
        <v>0.875</v>
      </c>
      <c r="V53" s="586">
        <v>0.13650000000000001</v>
      </c>
      <c r="W53" s="82">
        <v>0.44709169409024713</v>
      </c>
      <c r="X53" s="586">
        <v>0.10799999999999998</v>
      </c>
      <c r="Y53" s="82">
        <v>21.051593698490748</v>
      </c>
      <c r="Z53" s="590">
        <v>0.1938</v>
      </c>
      <c r="AA53" s="82">
        <v>0</v>
      </c>
      <c r="AB53" s="82">
        <v>0.1938</v>
      </c>
      <c r="AC53" s="82">
        <v>0</v>
      </c>
      <c r="AD53" s="620">
        <v>0</v>
      </c>
      <c r="AE53" s="624">
        <v>0.25006463868672596</v>
      </c>
      <c r="AF53" s="622">
        <v>1585</v>
      </c>
      <c r="AG53" s="616">
        <v>293.00814453343054</v>
      </c>
      <c r="AH53" s="56"/>
    </row>
    <row r="54" spans="1:34" x14ac:dyDescent="0.25">
      <c r="A54" s="433" t="s">
        <v>1199</v>
      </c>
      <c r="B54" s="571" t="s">
        <v>787</v>
      </c>
      <c r="C54" s="692"/>
      <c r="D54" s="693"/>
      <c r="E54" s="693"/>
      <c r="F54" s="693"/>
      <c r="G54" s="693"/>
      <c r="H54" s="693"/>
      <c r="I54" s="693"/>
      <c r="J54" s="693"/>
      <c r="K54" s="693"/>
      <c r="L54" s="694"/>
      <c r="M54" s="44"/>
      <c r="N54" s="86"/>
      <c r="O54" s="86"/>
      <c r="P54" s="86"/>
      <c r="Q54" s="86"/>
      <c r="R54" s="414"/>
      <c r="S54" s="86"/>
      <c r="U54" s="581">
        <v>0.89583333333333304</v>
      </c>
      <c r="V54" s="585">
        <v>0.13650000000000001</v>
      </c>
      <c r="W54" s="83">
        <v>0.42354551987903161</v>
      </c>
      <c r="X54" s="585">
        <v>0.10799999999999998</v>
      </c>
      <c r="Y54" s="83">
        <v>21.025796494773772</v>
      </c>
      <c r="Z54" s="589">
        <v>0.1938</v>
      </c>
      <c r="AA54" s="83">
        <v>0</v>
      </c>
      <c r="AB54" s="83">
        <v>0.1938</v>
      </c>
      <c r="AC54" s="83">
        <v>0</v>
      </c>
      <c r="AD54" s="619">
        <v>0</v>
      </c>
      <c r="AE54" s="625">
        <v>0.25006464099444364</v>
      </c>
      <c r="AF54" s="623">
        <v>1585</v>
      </c>
      <c r="AG54" s="615">
        <v>293.0040722667157</v>
      </c>
      <c r="AH54" s="56"/>
    </row>
    <row r="55" spans="1:34" x14ac:dyDescent="0.25">
      <c r="A55" s="648" t="s">
        <v>1625</v>
      </c>
      <c r="B55" s="661" t="s">
        <v>787</v>
      </c>
      <c r="C55" s="695"/>
      <c r="D55" s="696"/>
      <c r="E55" s="696"/>
      <c r="F55" s="696"/>
      <c r="G55" s="696"/>
      <c r="H55" s="696"/>
      <c r="I55" s="696"/>
      <c r="J55" s="696"/>
      <c r="K55" s="696"/>
      <c r="L55" s="697"/>
      <c r="M55" s="44"/>
      <c r="N55" s="86"/>
      <c r="O55" s="86"/>
      <c r="P55" s="86"/>
      <c r="Q55" s="86"/>
      <c r="R55" s="414"/>
      <c r="S55" s="86"/>
      <c r="U55" s="582">
        <v>0.91666666666666696</v>
      </c>
      <c r="V55" s="586">
        <v>0.21840000000000001</v>
      </c>
      <c r="W55" s="82">
        <v>0.55070081282766148</v>
      </c>
      <c r="X55" s="586">
        <v>0.17280000000000001</v>
      </c>
      <c r="Y55" s="82">
        <v>21.165039820818979</v>
      </c>
      <c r="Z55" s="590">
        <v>0.31040000000000001</v>
      </c>
      <c r="AA55" s="82">
        <v>0</v>
      </c>
      <c r="AB55" s="82">
        <v>0.31040000000000001</v>
      </c>
      <c r="AC55" s="82">
        <v>0</v>
      </c>
      <c r="AD55" s="620">
        <v>0</v>
      </c>
      <c r="AE55" s="624">
        <v>0.25002173927983778</v>
      </c>
      <c r="AF55" s="622">
        <v>2536</v>
      </c>
      <c r="AG55" s="616">
        <v>293.02509342472484</v>
      </c>
      <c r="AH55" s="56"/>
    </row>
    <row r="56" spans="1:34" ht="15.75" thickBot="1" x14ac:dyDescent="0.3">
      <c r="A56" s="635" t="s">
        <v>1215</v>
      </c>
      <c r="B56" s="652" t="s">
        <v>787</v>
      </c>
      <c r="C56" s="653"/>
      <c r="D56" s="434"/>
      <c r="E56" s="434"/>
      <c r="F56" s="434"/>
      <c r="G56" s="434"/>
      <c r="H56" s="434"/>
      <c r="I56" s="434"/>
      <c r="J56" s="434"/>
      <c r="K56" s="434"/>
      <c r="L56" s="435"/>
      <c r="M56" s="44"/>
      <c r="N56" s="86"/>
      <c r="O56" s="86"/>
      <c r="P56" s="86"/>
      <c r="Q56" s="86"/>
      <c r="R56" s="414"/>
      <c r="S56" s="86"/>
      <c r="U56" s="581">
        <v>0.9375</v>
      </c>
      <c r="V56" s="585">
        <v>0.21840000000000001</v>
      </c>
      <c r="W56" s="83">
        <v>0.51302319041248823</v>
      </c>
      <c r="X56" s="585">
        <v>0.17280000000000001</v>
      </c>
      <c r="Y56" s="83">
        <v>21.123777244496775</v>
      </c>
      <c r="Z56" s="589">
        <v>0.31040000000000001</v>
      </c>
      <c r="AA56" s="83">
        <v>0</v>
      </c>
      <c r="AB56" s="83">
        <v>0.31040000000000001</v>
      </c>
      <c r="AC56" s="83">
        <v>0</v>
      </c>
      <c r="AD56" s="619">
        <v>0</v>
      </c>
      <c r="AE56" s="625">
        <v>0.25009957303896496</v>
      </c>
      <c r="AF56" s="623">
        <v>2536</v>
      </c>
      <c r="AG56" s="615">
        <v>293.01882006854362</v>
      </c>
      <c r="AH56" s="56"/>
    </row>
    <row r="57" spans="1:34" x14ac:dyDescent="0.25">
      <c r="A57" s="436" t="s">
        <v>778</v>
      </c>
      <c r="B57" s="437"/>
      <c r="C57" s="438"/>
      <c r="D57" s="439"/>
      <c r="E57" s="439"/>
      <c r="F57" s="439"/>
      <c r="G57" s="439"/>
      <c r="H57" s="439"/>
      <c r="I57" s="439"/>
      <c r="J57" s="439"/>
      <c r="K57" s="439"/>
      <c r="L57" s="440"/>
      <c r="M57" s="44"/>
      <c r="O57" s="86"/>
      <c r="P57" s="86"/>
      <c r="Q57" s="86"/>
      <c r="R57" s="414"/>
      <c r="S57" s="86"/>
      <c r="U57" s="582">
        <v>0.95833333333333304</v>
      </c>
      <c r="V57" s="586">
        <v>0.21840000000000001</v>
      </c>
      <c r="W57" s="82">
        <v>0.47534718080282057</v>
      </c>
      <c r="X57" s="586">
        <v>0.17280000000000001</v>
      </c>
      <c r="Y57" s="82">
        <v>21.082516415586213</v>
      </c>
      <c r="Z57" s="590">
        <v>0.31040000000000001</v>
      </c>
      <c r="AA57" s="82">
        <v>0</v>
      </c>
      <c r="AB57" s="82">
        <v>0.31040000000000001</v>
      </c>
      <c r="AC57" s="82">
        <v>0</v>
      </c>
      <c r="AD57" s="620">
        <v>0</v>
      </c>
      <c r="AE57" s="624">
        <v>0.25009957851555131</v>
      </c>
      <c r="AF57" s="622">
        <v>2536</v>
      </c>
      <c r="AG57" s="616">
        <v>293.01254671236245</v>
      </c>
      <c r="AH57" s="56"/>
    </row>
    <row r="58" spans="1:34" ht="15.75" thickBot="1" x14ac:dyDescent="0.3">
      <c r="A58" s="559" t="s">
        <v>776</v>
      </c>
      <c r="B58" s="558"/>
      <c r="C58" s="560"/>
      <c r="D58" s="614"/>
      <c r="E58" s="614"/>
      <c r="F58" s="614"/>
      <c r="G58" s="614"/>
      <c r="H58" s="614"/>
      <c r="I58" s="614"/>
      <c r="J58" s="614"/>
      <c r="K58" s="614"/>
      <c r="L58" s="691"/>
      <c r="M58" s="44"/>
      <c r="N58" s="86"/>
      <c r="O58" s="86"/>
      <c r="P58" s="86"/>
      <c r="Q58" s="86"/>
      <c r="R58" s="414"/>
      <c r="S58" s="86"/>
      <c r="U58" s="583">
        <v>0.97916666666666696</v>
      </c>
      <c r="V58" s="587">
        <v>0.21840000000000001</v>
      </c>
      <c r="W58" s="579">
        <v>0.43767278399865817</v>
      </c>
      <c r="X58" s="587">
        <v>0.17280000000000001</v>
      </c>
      <c r="Y58" s="579">
        <v>21.041257334087287</v>
      </c>
      <c r="Z58" s="591">
        <v>0.31040000000000001</v>
      </c>
      <c r="AA58" s="579">
        <v>0</v>
      </c>
      <c r="AB58" s="579">
        <v>0.31040000000000001</v>
      </c>
      <c r="AC58" s="579">
        <v>0</v>
      </c>
      <c r="AD58" s="621">
        <v>0</v>
      </c>
      <c r="AE58" s="626">
        <v>0.25009958399259152</v>
      </c>
      <c r="AF58" s="632">
        <v>2536</v>
      </c>
      <c r="AG58" s="617">
        <v>293.00627335618123</v>
      </c>
      <c r="AH58" s="56"/>
    </row>
    <row r="59" spans="1:34" x14ac:dyDescent="0.25">
      <c r="A59" s="307" t="s">
        <v>1631</v>
      </c>
      <c r="B59" s="570" t="s">
        <v>1236</v>
      </c>
      <c r="C59" s="598"/>
      <c r="D59" s="599"/>
      <c r="E59" s="599"/>
      <c r="F59" s="599"/>
      <c r="G59" s="599"/>
      <c r="H59" s="599"/>
      <c r="I59" s="599"/>
      <c r="J59" s="599"/>
      <c r="K59" s="599"/>
      <c r="L59" s="600"/>
      <c r="M59" s="44"/>
      <c r="N59" s="86"/>
      <c r="O59" s="86"/>
      <c r="P59" s="86"/>
      <c r="Q59" s="86"/>
      <c r="R59" s="414"/>
      <c r="S59" s="86"/>
      <c r="AH59" s="56"/>
    </row>
    <row r="60" spans="1:34" x14ac:dyDescent="0.25">
      <c r="A60" s="105" t="s">
        <v>1641</v>
      </c>
      <c r="B60" s="661" t="s">
        <v>1236</v>
      </c>
      <c r="C60" s="520"/>
      <c r="D60" s="115"/>
      <c r="E60" s="115"/>
      <c r="F60" s="115"/>
      <c r="G60" s="115"/>
      <c r="H60" s="115"/>
      <c r="I60" s="115"/>
      <c r="J60" s="115"/>
      <c r="K60" s="115"/>
      <c r="L60" s="521"/>
      <c r="M60" s="44"/>
      <c r="N60" s="86"/>
      <c r="O60" s="86"/>
      <c r="P60" s="86"/>
      <c r="Q60" s="86"/>
      <c r="R60" s="414"/>
      <c r="S60" s="86"/>
      <c r="AH60" s="56"/>
    </row>
    <row r="61" spans="1:34" x14ac:dyDescent="0.25">
      <c r="A61" s="104" t="s">
        <v>1642</v>
      </c>
      <c r="B61" s="571" t="s">
        <v>1236</v>
      </c>
      <c r="C61" s="597"/>
      <c r="D61" s="118"/>
      <c r="E61" s="118"/>
      <c r="F61" s="118"/>
      <c r="G61" s="118"/>
      <c r="H61" s="118"/>
      <c r="I61" s="118"/>
      <c r="J61" s="118"/>
      <c r="K61" s="118"/>
      <c r="L61" s="601"/>
      <c r="M61" s="44"/>
      <c r="N61" s="86"/>
      <c r="O61" s="86"/>
      <c r="P61" s="86"/>
      <c r="Q61" s="86"/>
      <c r="R61" s="414"/>
      <c r="S61" s="86"/>
      <c r="AH61" s="56"/>
    </row>
    <row r="62" spans="1:34" x14ac:dyDescent="0.25">
      <c r="A62" s="105" t="s">
        <v>1643</v>
      </c>
      <c r="B62" s="661" t="s">
        <v>1236</v>
      </c>
      <c r="C62" s="520"/>
      <c r="D62" s="115"/>
      <c r="E62" s="115"/>
      <c r="F62" s="115"/>
      <c r="G62" s="115"/>
      <c r="H62" s="115"/>
      <c r="I62" s="115"/>
      <c r="J62" s="115"/>
      <c r="K62" s="115"/>
      <c r="L62" s="521"/>
      <c r="M62" s="44"/>
      <c r="N62" s="86"/>
      <c r="O62" s="86"/>
      <c r="P62" s="86"/>
      <c r="Q62" s="86"/>
      <c r="R62" s="414"/>
      <c r="S62" s="86"/>
      <c r="AH62" s="56"/>
    </row>
    <row r="63" spans="1:34" x14ac:dyDescent="0.25">
      <c r="A63" s="104" t="s">
        <v>1644</v>
      </c>
      <c r="B63" s="571" t="s">
        <v>1236</v>
      </c>
      <c r="C63" s="597"/>
      <c r="D63" s="118"/>
      <c r="E63" s="118"/>
      <c r="F63" s="118"/>
      <c r="G63" s="118"/>
      <c r="H63" s="118"/>
      <c r="I63" s="118"/>
      <c r="J63" s="118"/>
      <c r="K63" s="118"/>
      <c r="L63" s="601"/>
      <c r="M63" s="44"/>
      <c r="N63" s="86"/>
      <c r="O63" s="86"/>
      <c r="P63" s="86"/>
      <c r="Q63" s="86"/>
      <c r="R63" s="414"/>
      <c r="S63" s="86"/>
      <c r="AH63" s="56"/>
    </row>
    <row r="64" spans="1:34" x14ac:dyDescent="0.25">
      <c r="A64" s="105" t="s">
        <v>1645</v>
      </c>
      <c r="B64" s="661" t="s">
        <v>1236</v>
      </c>
      <c r="C64" s="520"/>
      <c r="D64" s="115"/>
      <c r="E64" s="115"/>
      <c r="F64" s="115"/>
      <c r="G64" s="115"/>
      <c r="H64" s="115"/>
      <c r="I64" s="115"/>
      <c r="J64" s="115"/>
      <c r="K64" s="115"/>
      <c r="L64" s="521"/>
      <c r="R64" s="641"/>
      <c r="U64" s="44"/>
      <c r="V64" s="86"/>
      <c r="W64" s="86"/>
      <c r="X64" s="86"/>
      <c r="Y64" s="86"/>
    </row>
    <row r="65" spans="1:25" x14ac:dyDescent="0.25">
      <c r="A65" s="104" t="s">
        <v>33</v>
      </c>
      <c r="B65" s="571" t="s">
        <v>1236</v>
      </c>
      <c r="C65" s="597"/>
      <c r="D65" s="118"/>
      <c r="E65" s="118"/>
      <c r="F65" s="118"/>
      <c r="G65" s="118"/>
      <c r="H65" s="118"/>
      <c r="I65" s="118"/>
      <c r="J65" s="118"/>
      <c r="K65" s="118"/>
      <c r="L65" s="601"/>
      <c r="R65" s="641"/>
      <c r="U65" s="44"/>
      <c r="V65" s="86"/>
      <c r="W65" s="86"/>
      <c r="X65" s="86"/>
      <c r="Y65" s="86"/>
    </row>
    <row r="66" spans="1:25" x14ac:dyDescent="0.25">
      <c r="A66" s="105" t="s">
        <v>1626</v>
      </c>
      <c r="B66" s="661" t="s">
        <v>1236</v>
      </c>
      <c r="C66" s="520"/>
      <c r="D66" s="115"/>
      <c r="E66" s="115"/>
      <c r="F66" s="115"/>
      <c r="G66" s="115"/>
      <c r="H66" s="115"/>
      <c r="I66" s="115"/>
      <c r="J66" s="115"/>
      <c r="K66" s="115"/>
      <c r="L66" s="521"/>
      <c r="R66" s="217"/>
      <c r="U66" s="44"/>
      <c r="V66" s="86"/>
      <c r="W66" s="86"/>
      <c r="X66" s="86"/>
      <c r="Y66" s="86"/>
    </row>
    <row r="67" spans="1:25" x14ac:dyDescent="0.25">
      <c r="A67" s="104" t="s">
        <v>1233</v>
      </c>
      <c r="B67" s="571" t="s">
        <v>1236</v>
      </c>
      <c r="C67" s="597"/>
      <c r="D67" s="118"/>
      <c r="E67" s="118"/>
      <c r="F67" s="118"/>
      <c r="G67" s="118"/>
      <c r="H67" s="118"/>
      <c r="I67" s="118"/>
      <c r="J67" s="118"/>
      <c r="K67" s="118"/>
      <c r="L67" s="601"/>
      <c r="U67" s="44"/>
      <c r="V67" s="86"/>
      <c r="W67" s="86"/>
      <c r="X67" s="86"/>
      <c r="Y67" s="86"/>
    </row>
    <row r="68" spans="1:25" x14ac:dyDescent="0.25">
      <c r="A68" s="105" t="s">
        <v>1234</v>
      </c>
      <c r="B68" s="661" t="s">
        <v>1236</v>
      </c>
      <c r="C68" s="520"/>
      <c r="D68" s="115"/>
      <c r="E68" s="115"/>
      <c r="F68" s="115"/>
      <c r="G68" s="115"/>
      <c r="H68" s="115"/>
      <c r="I68" s="115"/>
      <c r="J68" s="115"/>
      <c r="K68" s="115"/>
      <c r="L68" s="521"/>
      <c r="U68" s="44"/>
      <c r="V68" s="86"/>
      <c r="W68" s="86"/>
      <c r="X68" s="86"/>
      <c r="Y68" s="86"/>
    </row>
    <row r="69" spans="1:25" x14ac:dyDescent="0.25">
      <c r="A69" s="561" t="s">
        <v>1630</v>
      </c>
      <c r="B69" s="571" t="s">
        <v>1236</v>
      </c>
      <c r="C69" s="597"/>
      <c r="D69" s="118"/>
      <c r="E69" s="118"/>
      <c r="F69" s="118"/>
      <c r="G69" s="118"/>
      <c r="H69" s="118"/>
      <c r="I69" s="118"/>
      <c r="J69" s="118"/>
      <c r="K69" s="118"/>
      <c r="L69" s="601"/>
      <c r="U69" s="44"/>
      <c r="V69" s="86"/>
      <c r="W69" s="86"/>
      <c r="X69" s="86"/>
      <c r="Y69" s="86"/>
    </row>
    <row r="70" spans="1:25" x14ac:dyDescent="0.25">
      <c r="A70" s="105" t="s">
        <v>1217</v>
      </c>
      <c r="B70" s="661" t="s">
        <v>1236</v>
      </c>
      <c r="C70" s="520"/>
      <c r="D70" s="115"/>
      <c r="E70" s="115"/>
      <c r="F70" s="115"/>
      <c r="G70" s="115"/>
      <c r="H70" s="115"/>
      <c r="I70" s="115"/>
      <c r="J70" s="115"/>
      <c r="K70" s="115"/>
      <c r="L70" s="521"/>
      <c r="U70" s="44"/>
      <c r="V70" s="86"/>
      <c r="W70" s="86"/>
      <c r="X70" s="86"/>
      <c r="Y70" s="86"/>
    </row>
    <row r="71" spans="1:25" x14ac:dyDescent="0.25">
      <c r="A71" s="561" t="s">
        <v>1715</v>
      </c>
      <c r="B71" s="571" t="s">
        <v>1236</v>
      </c>
      <c r="C71" s="597"/>
      <c r="D71" s="118"/>
      <c r="E71" s="118"/>
      <c r="F71" s="118"/>
      <c r="G71" s="118"/>
      <c r="H71" s="118"/>
      <c r="I71" s="118"/>
      <c r="J71" s="118"/>
      <c r="K71" s="118"/>
      <c r="L71" s="601"/>
      <c r="U71" s="44"/>
      <c r="V71" s="86"/>
      <c r="W71" s="86"/>
      <c r="X71" s="86"/>
      <c r="Y71" s="86"/>
    </row>
    <row r="72" spans="1:25" x14ac:dyDescent="0.25">
      <c r="A72" s="105" t="s">
        <v>1716</v>
      </c>
      <c r="B72" s="661" t="s">
        <v>1236</v>
      </c>
      <c r="C72" s="732"/>
      <c r="D72" s="733"/>
      <c r="E72" s="733"/>
      <c r="F72" s="733"/>
      <c r="G72" s="733"/>
      <c r="H72" s="733"/>
      <c r="I72" s="733"/>
      <c r="J72" s="733"/>
      <c r="K72" s="733"/>
      <c r="L72" s="734"/>
      <c r="U72" s="44"/>
      <c r="V72" s="86"/>
      <c r="W72" s="86"/>
      <c r="X72" s="86"/>
      <c r="Y72" s="86"/>
    </row>
    <row r="73" spans="1:25" x14ac:dyDescent="0.25">
      <c r="A73" s="649" t="s">
        <v>1730</v>
      </c>
      <c r="B73" s="661" t="s">
        <v>1236</v>
      </c>
      <c r="C73" s="732"/>
      <c r="D73" s="733"/>
      <c r="E73" s="733"/>
      <c r="F73" s="733"/>
      <c r="G73" s="733"/>
      <c r="H73" s="733"/>
      <c r="I73" s="733"/>
      <c r="J73" s="733"/>
      <c r="K73" s="733"/>
      <c r="L73" s="734"/>
      <c r="U73" s="44"/>
      <c r="V73" s="86"/>
      <c r="W73" s="86"/>
      <c r="X73" s="86"/>
      <c r="Y73" s="86"/>
    </row>
    <row r="74" spans="1:25" x14ac:dyDescent="0.25">
      <c r="A74" s="104" t="s">
        <v>1707</v>
      </c>
      <c r="B74" s="571" t="s">
        <v>1236</v>
      </c>
      <c r="C74" s="636"/>
      <c r="D74" s="637"/>
      <c r="E74" s="637"/>
      <c r="F74" s="637"/>
      <c r="G74" s="637"/>
      <c r="H74" s="637"/>
      <c r="I74" s="637"/>
      <c r="J74" s="637"/>
      <c r="K74" s="637"/>
      <c r="L74" s="638"/>
      <c r="U74" s="44"/>
      <c r="V74" s="86"/>
      <c r="W74" s="86"/>
      <c r="X74" s="86"/>
      <c r="Y74" s="86"/>
    </row>
    <row r="75" spans="1:25" ht="15.75" thickBot="1" x14ac:dyDescent="0.3">
      <c r="A75" s="659" t="s">
        <v>1627</v>
      </c>
      <c r="B75" s="660" t="s">
        <v>1236</v>
      </c>
      <c r="C75" s="522">
        <f>SUM(C59:C74)</f>
        <v>0</v>
      </c>
      <c r="D75" s="523">
        <f t="shared" ref="D75:L75" si="0">SUM(D59:D74)</f>
        <v>0</v>
      </c>
      <c r="E75" s="523">
        <f t="shared" ref="E75" si="1">SUM(E59:E74)</f>
        <v>0</v>
      </c>
      <c r="F75" s="523">
        <f t="shared" ref="F75:G75" si="2">SUM(F59:F74)</f>
        <v>0</v>
      </c>
      <c r="G75" s="523">
        <f t="shared" si="2"/>
        <v>0</v>
      </c>
      <c r="H75" s="523">
        <f t="shared" si="0"/>
        <v>0</v>
      </c>
      <c r="I75" s="523">
        <f t="shared" si="0"/>
        <v>0</v>
      </c>
      <c r="J75" s="523">
        <f t="shared" si="0"/>
        <v>0</v>
      </c>
      <c r="K75" s="523">
        <f t="shared" si="0"/>
        <v>0</v>
      </c>
      <c r="L75" s="524">
        <f t="shared" si="0"/>
        <v>0</v>
      </c>
      <c r="U75" s="44"/>
      <c r="V75" s="86"/>
      <c r="W75" s="86"/>
      <c r="X75" s="86"/>
      <c r="Y75" s="86"/>
    </row>
    <row r="76" spans="1:25" ht="15.75" thickBot="1" x14ac:dyDescent="0.3">
      <c r="A76" s="633" t="s">
        <v>1627</v>
      </c>
      <c r="B76" s="634" t="s">
        <v>787</v>
      </c>
      <c r="C76" s="654">
        <f t="shared" ref="C76:L76" si="3">Mission_Duration*C75</f>
        <v>0</v>
      </c>
      <c r="D76" s="655">
        <f t="shared" si="3"/>
        <v>0</v>
      </c>
      <c r="E76" s="655">
        <f t="shared" si="3"/>
        <v>0</v>
      </c>
      <c r="F76" s="655">
        <f t="shared" si="3"/>
        <v>0</v>
      </c>
      <c r="G76" s="655">
        <f t="shared" si="3"/>
        <v>0</v>
      </c>
      <c r="H76" s="655">
        <f t="shared" si="3"/>
        <v>0</v>
      </c>
      <c r="I76" s="655">
        <f t="shared" si="3"/>
        <v>0</v>
      </c>
      <c r="J76" s="655">
        <f t="shared" si="3"/>
        <v>0</v>
      </c>
      <c r="K76" s="655">
        <f t="shared" si="3"/>
        <v>0</v>
      </c>
      <c r="L76" s="656">
        <f t="shared" si="3"/>
        <v>0</v>
      </c>
      <c r="U76" s="44"/>
      <c r="V76" s="86"/>
      <c r="W76" s="86"/>
      <c r="X76" s="86"/>
      <c r="Y76" s="86"/>
    </row>
    <row r="77" spans="1:25" x14ac:dyDescent="0.25">
      <c r="A77" s="847" t="s">
        <v>1665</v>
      </c>
      <c r="B77" s="517" t="s">
        <v>1551</v>
      </c>
      <c r="C77" s="701"/>
      <c r="D77" s="702"/>
      <c r="E77" s="702"/>
      <c r="F77" s="702"/>
      <c r="G77" s="702"/>
      <c r="H77" s="702"/>
      <c r="I77" s="702"/>
      <c r="J77" s="702"/>
      <c r="K77" s="702"/>
      <c r="L77" s="703"/>
      <c r="N77" s="850" t="s">
        <v>1658</v>
      </c>
      <c r="O77" s="850"/>
      <c r="P77" s="850"/>
      <c r="Q77" s="850"/>
      <c r="U77" s="44"/>
      <c r="V77" s="86"/>
      <c r="W77" s="86"/>
      <c r="X77" s="86"/>
      <c r="Y77" s="86"/>
    </row>
    <row r="78" spans="1:25" ht="15" customHeight="1" x14ac:dyDescent="0.25">
      <c r="A78" s="848"/>
      <c r="B78" s="103" t="s">
        <v>1552</v>
      </c>
      <c r="C78" s="704"/>
      <c r="D78" s="705"/>
      <c r="E78" s="705"/>
      <c r="F78" s="705"/>
      <c r="G78" s="705"/>
      <c r="H78" s="705"/>
      <c r="I78" s="705"/>
      <c r="J78" s="705"/>
      <c r="K78" s="705"/>
      <c r="L78" s="706"/>
      <c r="N78" s="850"/>
      <c r="O78" s="850"/>
      <c r="P78" s="850"/>
      <c r="Q78" s="850"/>
      <c r="U78" s="44"/>
      <c r="V78" s="86"/>
      <c r="W78" s="86"/>
      <c r="X78" s="86"/>
      <c r="Y78" s="86"/>
    </row>
    <row r="79" spans="1:25" x14ac:dyDescent="0.25">
      <c r="A79" s="848"/>
      <c r="B79" s="432" t="s">
        <v>1553</v>
      </c>
      <c r="C79" s="707"/>
      <c r="D79" s="708"/>
      <c r="E79" s="708"/>
      <c r="F79" s="708"/>
      <c r="G79" s="708"/>
      <c r="H79" s="708"/>
      <c r="I79" s="708"/>
      <c r="J79" s="708"/>
      <c r="K79" s="708"/>
      <c r="L79" s="709"/>
      <c r="N79" s="850" t="s">
        <v>1659</v>
      </c>
      <c r="O79" s="850"/>
      <c r="P79" s="850"/>
      <c r="Q79" s="850"/>
      <c r="U79" s="44"/>
      <c r="V79" s="86"/>
      <c r="W79" s="86"/>
      <c r="X79" s="86"/>
      <c r="Y79" s="86"/>
    </row>
    <row r="80" spans="1:25" x14ac:dyDescent="0.25">
      <c r="A80" s="848"/>
      <c r="B80" s="103" t="s">
        <v>1554</v>
      </c>
      <c r="C80" s="704"/>
      <c r="D80" s="705"/>
      <c r="E80" s="705"/>
      <c r="F80" s="705"/>
      <c r="G80" s="705"/>
      <c r="H80" s="705"/>
      <c r="I80" s="705"/>
      <c r="J80" s="705"/>
      <c r="K80" s="705"/>
      <c r="L80" s="706"/>
      <c r="N80" s="850"/>
      <c r="O80" s="850"/>
      <c r="P80" s="850"/>
      <c r="Q80" s="850"/>
      <c r="U80" s="44"/>
      <c r="V80" s="86"/>
      <c r="W80" s="86"/>
      <c r="X80" s="86"/>
      <c r="Y80" s="86"/>
    </row>
    <row r="81" spans="1:25" ht="15" customHeight="1" x14ac:dyDescent="0.25">
      <c r="A81" s="848"/>
      <c r="B81" s="432" t="s">
        <v>1555</v>
      </c>
      <c r="C81" s="707"/>
      <c r="D81" s="708"/>
      <c r="E81" s="708"/>
      <c r="F81" s="708"/>
      <c r="G81" s="708"/>
      <c r="H81" s="708"/>
      <c r="I81" s="708"/>
      <c r="J81" s="708"/>
      <c r="K81" s="708"/>
      <c r="L81" s="709"/>
      <c r="U81" s="44"/>
      <c r="V81" s="86"/>
      <c r="W81" s="86"/>
      <c r="X81" s="86"/>
      <c r="Y81" s="86"/>
    </row>
    <row r="82" spans="1:25" x14ac:dyDescent="0.25">
      <c r="A82" s="848"/>
      <c r="B82" s="103" t="s">
        <v>1556</v>
      </c>
      <c r="C82" s="704"/>
      <c r="D82" s="705"/>
      <c r="E82" s="705"/>
      <c r="F82" s="705"/>
      <c r="G82" s="705"/>
      <c r="H82" s="705"/>
      <c r="I82" s="705"/>
      <c r="J82" s="705"/>
      <c r="K82" s="705"/>
      <c r="L82" s="706"/>
      <c r="N82" s="850" t="s">
        <v>1666</v>
      </c>
      <c r="O82" s="850"/>
      <c r="P82" s="850"/>
      <c r="Q82" s="850"/>
      <c r="S82" s="414"/>
      <c r="U82" s="44"/>
      <c r="V82" s="86"/>
      <c r="W82" s="86"/>
      <c r="X82" s="86"/>
      <c r="Y82" s="86"/>
    </row>
    <row r="83" spans="1:25" x14ac:dyDescent="0.25">
      <c r="A83" s="848"/>
      <c r="B83" s="432" t="s">
        <v>1557</v>
      </c>
      <c r="C83" s="707"/>
      <c r="D83" s="708"/>
      <c r="E83" s="708"/>
      <c r="F83" s="708"/>
      <c r="G83" s="708"/>
      <c r="H83" s="708"/>
      <c r="I83" s="708"/>
      <c r="J83" s="708"/>
      <c r="K83" s="708"/>
      <c r="L83" s="709"/>
      <c r="N83" s="850"/>
      <c r="O83" s="850"/>
      <c r="P83" s="850"/>
      <c r="Q83" s="850"/>
      <c r="S83" s="414"/>
      <c r="U83" s="44"/>
      <c r="V83" s="86"/>
      <c r="W83" s="86"/>
      <c r="X83" s="86"/>
      <c r="Y83" s="86"/>
    </row>
    <row r="84" spans="1:25" ht="15" customHeight="1" x14ac:dyDescent="0.25">
      <c r="A84" s="848"/>
      <c r="B84" s="103" t="s">
        <v>1558</v>
      </c>
      <c r="C84" s="704"/>
      <c r="D84" s="705"/>
      <c r="E84" s="705"/>
      <c r="F84" s="705"/>
      <c r="G84" s="705"/>
      <c r="H84" s="705"/>
      <c r="I84" s="705"/>
      <c r="J84" s="705"/>
      <c r="K84" s="705"/>
      <c r="L84" s="706"/>
      <c r="N84" s="850"/>
      <c r="O84" s="850"/>
      <c r="P84" s="850"/>
      <c r="Q84" s="850"/>
      <c r="S84" s="414"/>
      <c r="U84" s="44"/>
      <c r="V84" s="86"/>
      <c r="W84" s="86"/>
      <c r="X84" s="86"/>
      <c r="Y84" s="86"/>
    </row>
    <row r="85" spans="1:25" x14ac:dyDescent="0.25">
      <c r="A85" s="848"/>
      <c r="B85" s="432" t="s">
        <v>1559</v>
      </c>
      <c r="C85" s="707"/>
      <c r="D85" s="708"/>
      <c r="E85" s="708"/>
      <c r="F85" s="708"/>
      <c r="G85" s="708"/>
      <c r="H85" s="708"/>
      <c r="I85" s="708"/>
      <c r="J85" s="708"/>
      <c r="K85" s="708"/>
      <c r="L85" s="709"/>
      <c r="S85" s="414"/>
      <c r="U85" s="44"/>
      <c r="V85" s="86"/>
      <c r="W85" s="86"/>
      <c r="X85" s="86"/>
      <c r="Y85" s="86"/>
    </row>
    <row r="86" spans="1:25" ht="15.75" thickBot="1" x14ac:dyDescent="0.3">
      <c r="A86" s="849"/>
      <c r="B86" s="643" t="s">
        <v>1560</v>
      </c>
      <c r="C86" s="710"/>
      <c r="D86" s="711"/>
      <c r="E86" s="711"/>
      <c r="F86" s="711"/>
      <c r="G86" s="711"/>
      <c r="H86" s="711"/>
      <c r="I86" s="711"/>
      <c r="J86" s="711"/>
      <c r="K86" s="711"/>
      <c r="L86" s="712"/>
      <c r="S86" s="414"/>
      <c r="U86" s="44"/>
      <c r="V86" s="86"/>
      <c r="W86" s="86"/>
      <c r="X86" s="86"/>
      <c r="Y86" s="86"/>
    </row>
    <row r="87" spans="1:25" x14ac:dyDescent="0.25">
      <c r="A87" s="307" t="s">
        <v>1673</v>
      </c>
      <c r="B87" s="517" t="s">
        <v>787</v>
      </c>
      <c r="C87" s="663"/>
      <c r="D87" s="599"/>
      <c r="E87" s="599"/>
      <c r="F87" s="599"/>
      <c r="G87" s="599"/>
      <c r="H87" s="599"/>
      <c r="I87" s="599"/>
      <c r="J87" s="599"/>
      <c r="K87" s="599"/>
      <c r="L87" s="600"/>
      <c r="N87" s="857" t="s">
        <v>1674</v>
      </c>
      <c r="O87" s="857"/>
      <c r="P87" s="857"/>
      <c r="Q87" s="857"/>
      <c r="S87" s="414"/>
      <c r="U87" s="44"/>
      <c r="V87" s="86"/>
      <c r="W87" s="86"/>
      <c r="X87" s="86"/>
      <c r="Y87" s="86"/>
    </row>
    <row r="88" spans="1:25" ht="17.25" x14ac:dyDescent="0.25">
      <c r="A88" s="105" t="s">
        <v>1675</v>
      </c>
      <c r="B88" s="103" t="s">
        <v>788</v>
      </c>
      <c r="C88" s="117"/>
      <c r="D88" s="115"/>
      <c r="E88" s="115"/>
      <c r="F88" s="115"/>
      <c r="G88" s="115"/>
      <c r="H88" s="115"/>
      <c r="I88" s="115"/>
      <c r="J88" s="115"/>
      <c r="K88" s="115"/>
      <c r="L88" s="521"/>
      <c r="N88" s="857"/>
      <c r="O88" s="857"/>
      <c r="P88" s="857"/>
      <c r="Q88" s="857"/>
      <c r="S88" s="414"/>
      <c r="U88" s="44"/>
      <c r="V88" s="86"/>
      <c r="W88" s="86"/>
      <c r="X88" s="86"/>
      <c r="Y88" s="86"/>
    </row>
    <row r="89" spans="1:25" x14ac:dyDescent="0.25">
      <c r="A89" s="104" t="s">
        <v>1678</v>
      </c>
      <c r="B89" s="432" t="s">
        <v>787</v>
      </c>
      <c r="C89" s="664"/>
      <c r="D89" s="118"/>
      <c r="E89" s="118"/>
      <c r="F89" s="118"/>
      <c r="G89" s="118"/>
      <c r="H89" s="118"/>
      <c r="I89" s="118"/>
      <c r="J89" s="118"/>
      <c r="K89" s="118"/>
      <c r="L89" s="601"/>
      <c r="U89" s="44"/>
      <c r="V89" s="86"/>
      <c r="W89" s="86"/>
      <c r="X89" s="86"/>
      <c r="Y89" s="86"/>
    </row>
    <row r="90" spans="1:25" ht="18" thickBot="1" x14ac:dyDescent="0.3">
      <c r="A90" s="221" t="s">
        <v>1676</v>
      </c>
      <c r="B90" s="103" t="s">
        <v>788</v>
      </c>
      <c r="C90" s="665"/>
      <c r="D90" s="523"/>
      <c r="E90" s="523"/>
      <c r="F90" s="523"/>
      <c r="G90" s="523"/>
      <c r="H90" s="523"/>
      <c r="I90" s="523"/>
      <c r="J90" s="523"/>
      <c r="K90" s="523"/>
      <c r="L90" s="524"/>
      <c r="U90" s="44"/>
      <c r="V90" s="86"/>
      <c r="W90" s="86"/>
      <c r="X90" s="86"/>
      <c r="Y90" s="86"/>
    </row>
    <row r="91" spans="1:25" ht="15.75" thickBot="1" x14ac:dyDescent="0.3">
      <c r="U91" s="44"/>
      <c r="V91" s="86"/>
      <c r="W91" s="86"/>
      <c r="X91" s="86"/>
      <c r="Y91" s="86"/>
    </row>
    <row r="92" spans="1:25" x14ac:dyDescent="0.25">
      <c r="B92" s="837" t="s">
        <v>1262</v>
      </c>
      <c r="C92" s="430" t="s">
        <v>1551</v>
      </c>
      <c r="D92" s="418" t="s">
        <v>1552</v>
      </c>
      <c r="E92" s="418" t="s">
        <v>1553</v>
      </c>
      <c r="F92" s="418" t="s">
        <v>1554</v>
      </c>
      <c r="G92" s="418" t="s">
        <v>1555</v>
      </c>
      <c r="H92" s="418" t="s">
        <v>1556</v>
      </c>
      <c r="I92" s="418" t="s">
        <v>1557</v>
      </c>
      <c r="J92" s="418" t="s">
        <v>1558</v>
      </c>
      <c r="K92" s="418" t="s">
        <v>1559</v>
      </c>
      <c r="L92" s="419" t="s">
        <v>1560</v>
      </c>
      <c r="U92" s="44"/>
      <c r="V92" s="86"/>
      <c r="W92" s="86"/>
      <c r="X92" s="86"/>
      <c r="Y92" s="86"/>
    </row>
    <row r="93" spans="1:25" x14ac:dyDescent="0.25">
      <c r="B93" s="838"/>
      <c r="C93" s="426"/>
      <c r="D93" s="426"/>
      <c r="E93" s="426"/>
      <c r="F93" s="426"/>
      <c r="G93" s="426"/>
      <c r="H93" s="426"/>
      <c r="I93" s="426"/>
      <c r="J93" s="426"/>
      <c r="K93" s="426"/>
      <c r="L93" s="427"/>
      <c r="U93" s="44"/>
      <c r="V93" s="86"/>
      <c r="W93" s="86"/>
      <c r="X93" s="86"/>
      <c r="Y93" s="86"/>
    </row>
    <row r="94" spans="1:25" x14ac:dyDescent="0.25">
      <c r="B94" s="85">
        <v>1</v>
      </c>
      <c r="C94" s="85"/>
      <c r="D94" s="85"/>
      <c r="E94" s="85"/>
      <c r="F94" s="85"/>
      <c r="G94" s="85"/>
      <c r="H94" s="85"/>
      <c r="I94" s="85"/>
      <c r="J94" s="85"/>
      <c r="K94" s="85"/>
      <c r="L94" s="85"/>
      <c r="U94" s="44"/>
      <c r="V94" s="86"/>
      <c r="W94" s="86"/>
      <c r="X94" s="86"/>
      <c r="Y94" s="86"/>
    </row>
    <row r="95" spans="1:25" x14ac:dyDescent="0.25">
      <c r="B95" s="84">
        <v>2</v>
      </c>
      <c r="C95" s="84"/>
      <c r="D95" s="84"/>
      <c r="E95" s="84"/>
      <c r="F95" s="84"/>
      <c r="G95" s="84"/>
      <c r="H95" s="84"/>
      <c r="I95" s="84"/>
      <c r="J95" s="84"/>
      <c r="K95" s="84"/>
      <c r="L95" s="84"/>
      <c r="U95" s="44"/>
      <c r="V95" s="86"/>
      <c r="W95" s="86"/>
      <c r="X95" s="86"/>
      <c r="Y95" s="86"/>
    </row>
    <row r="96" spans="1:25" x14ac:dyDescent="0.25">
      <c r="B96" s="85">
        <v>3</v>
      </c>
      <c r="C96" s="85"/>
      <c r="D96" s="85"/>
      <c r="E96" s="85"/>
      <c r="F96" s="85"/>
      <c r="G96" s="85"/>
      <c r="H96" s="85"/>
      <c r="I96" s="85"/>
      <c r="J96" s="85"/>
      <c r="K96" s="85"/>
      <c r="L96" s="85"/>
      <c r="U96" s="44"/>
      <c r="V96" s="86"/>
      <c r="W96" s="86"/>
      <c r="X96" s="86"/>
      <c r="Y96" s="86"/>
    </row>
    <row r="97" spans="2:25" x14ac:dyDescent="0.25">
      <c r="B97" s="84">
        <v>4</v>
      </c>
      <c r="C97" s="84"/>
      <c r="D97" s="84"/>
      <c r="E97" s="84"/>
      <c r="F97" s="84"/>
      <c r="G97" s="84"/>
      <c r="H97" s="84"/>
      <c r="I97" s="84"/>
      <c r="J97" s="84"/>
      <c r="K97" s="84"/>
      <c r="L97" s="84"/>
      <c r="U97" s="44"/>
      <c r="V97" s="86"/>
      <c r="W97" s="86"/>
      <c r="X97" s="86"/>
      <c r="Y97" s="86"/>
    </row>
    <row r="98" spans="2:25" x14ac:dyDescent="0.25">
      <c r="B98" s="85">
        <v>5</v>
      </c>
      <c r="C98" s="85"/>
      <c r="D98" s="85"/>
      <c r="E98" s="85"/>
      <c r="F98" s="85"/>
      <c r="G98" s="85"/>
      <c r="H98" s="85"/>
      <c r="I98" s="85"/>
      <c r="J98" s="85"/>
      <c r="K98" s="85"/>
      <c r="L98" s="85"/>
      <c r="U98" s="44"/>
      <c r="V98" s="86"/>
      <c r="W98" s="86"/>
      <c r="X98" s="86"/>
      <c r="Y98" s="86"/>
    </row>
    <row r="99" spans="2:25" x14ac:dyDescent="0.25">
      <c r="B99" s="84">
        <v>6</v>
      </c>
      <c r="C99" s="84"/>
      <c r="D99" s="84"/>
      <c r="E99" s="84"/>
      <c r="F99" s="84"/>
      <c r="G99" s="84"/>
      <c r="H99" s="84"/>
      <c r="I99" s="84"/>
      <c r="J99" s="84"/>
      <c r="K99" s="84"/>
      <c r="L99" s="84"/>
      <c r="P99">
        <v>62168.9406819016</v>
      </c>
      <c r="U99" s="44"/>
      <c r="V99" s="86"/>
      <c r="W99" s="86"/>
      <c r="X99" s="86"/>
      <c r="Y99" s="86"/>
    </row>
    <row r="100" spans="2:25" x14ac:dyDescent="0.25">
      <c r="B100" s="85">
        <v>7</v>
      </c>
      <c r="C100" s="85"/>
      <c r="D100" s="85"/>
      <c r="E100" s="85"/>
      <c r="F100" s="85"/>
      <c r="G100" s="85"/>
      <c r="H100" s="85"/>
      <c r="I100" s="85"/>
      <c r="J100" s="85"/>
      <c r="K100" s="85"/>
      <c r="L100" s="85"/>
      <c r="U100" s="44"/>
      <c r="V100" s="86"/>
      <c r="W100" s="86"/>
      <c r="X100" s="86"/>
      <c r="Y100" s="86"/>
    </row>
    <row r="101" spans="2:25" x14ac:dyDescent="0.25">
      <c r="B101" s="84">
        <v>8</v>
      </c>
      <c r="C101" s="84"/>
      <c r="D101" s="84"/>
      <c r="E101" s="84"/>
      <c r="F101" s="84"/>
      <c r="G101" s="84"/>
      <c r="H101" s="84"/>
      <c r="I101" s="84"/>
      <c r="J101" s="84"/>
      <c r="K101" s="84"/>
      <c r="L101" s="84"/>
      <c r="P101">
        <v>8426.3876751408807</v>
      </c>
      <c r="U101" s="44"/>
      <c r="V101" s="86"/>
      <c r="W101" s="86"/>
      <c r="X101" s="86"/>
      <c r="Y101" s="86"/>
    </row>
    <row r="102" spans="2:25" x14ac:dyDescent="0.25">
      <c r="B102" s="85">
        <v>9</v>
      </c>
      <c r="C102" s="85"/>
      <c r="D102" s="85"/>
      <c r="E102" s="85"/>
      <c r="F102" s="85"/>
      <c r="G102" s="85"/>
      <c r="H102" s="85"/>
      <c r="I102" s="85"/>
      <c r="J102" s="85"/>
      <c r="K102" s="85"/>
      <c r="L102" s="85"/>
      <c r="U102" s="44"/>
      <c r="V102" s="86"/>
      <c r="W102" s="86"/>
      <c r="X102" s="86"/>
      <c r="Y102" s="86"/>
    </row>
    <row r="103" spans="2:25" x14ac:dyDescent="0.25">
      <c r="B103" s="84">
        <v>10</v>
      </c>
      <c r="C103" s="84"/>
      <c r="D103" s="84"/>
      <c r="E103" s="84"/>
      <c r="F103" s="84"/>
      <c r="G103" s="84"/>
      <c r="H103" s="84"/>
      <c r="I103" s="84"/>
      <c r="J103" s="84"/>
      <c r="K103" s="84"/>
      <c r="L103" s="84"/>
      <c r="P103">
        <f>(P99-P101)/11.0637335027534</f>
        <v>4857.5422567242749</v>
      </c>
      <c r="Q103">
        <f>P103/365.25</f>
        <v>13.299225891099999</v>
      </c>
      <c r="U103" s="44"/>
      <c r="V103" s="86"/>
      <c r="W103" s="86"/>
      <c r="X103" s="86"/>
      <c r="Y103" s="86"/>
    </row>
    <row r="104" spans="2:25" x14ac:dyDescent="0.25">
      <c r="B104" s="85">
        <v>11</v>
      </c>
      <c r="C104" s="85"/>
      <c r="D104" s="85"/>
      <c r="E104" s="85"/>
      <c r="F104" s="85"/>
      <c r="G104" s="85"/>
      <c r="H104" s="85"/>
      <c r="I104" s="85"/>
      <c r="J104" s="85"/>
      <c r="K104" s="85"/>
      <c r="L104" s="85"/>
      <c r="U104" s="44"/>
      <c r="V104" s="86"/>
      <c r="W104" s="86"/>
      <c r="X104" s="86"/>
      <c r="Y104" s="86"/>
    </row>
    <row r="105" spans="2:25" x14ac:dyDescent="0.25">
      <c r="B105" s="84">
        <v>12</v>
      </c>
      <c r="C105" s="84"/>
      <c r="D105" s="84"/>
      <c r="E105" s="84"/>
      <c r="F105" s="84"/>
      <c r="G105" s="84"/>
      <c r="H105" s="84"/>
      <c r="I105" s="84"/>
      <c r="J105" s="84"/>
      <c r="K105" s="84"/>
      <c r="L105" s="84"/>
      <c r="U105" s="44"/>
      <c r="V105" s="86"/>
      <c r="W105" s="86"/>
      <c r="X105" s="86"/>
      <c r="Y105" s="86"/>
    </row>
    <row r="106" spans="2:25" x14ac:dyDescent="0.25">
      <c r="B106" s="85">
        <v>13</v>
      </c>
      <c r="C106" s="85"/>
      <c r="D106" s="85"/>
      <c r="E106" s="85"/>
      <c r="F106" s="85"/>
      <c r="G106" s="85"/>
      <c r="H106" s="85"/>
      <c r="I106" s="85"/>
      <c r="J106" s="85"/>
      <c r="K106" s="85"/>
      <c r="L106" s="85"/>
      <c r="U106" s="44"/>
      <c r="V106" s="86"/>
      <c r="W106" s="86"/>
      <c r="X106" s="86"/>
      <c r="Y106" s="86"/>
    </row>
    <row r="107" spans="2:25" x14ac:dyDescent="0.25">
      <c r="B107" s="84">
        <v>14</v>
      </c>
      <c r="C107" s="84"/>
      <c r="D107" s="84"/>
      <c r="E107" s="84"/>
      <c r="F107" s="84"/>
      <c r="G107" s="84"/>
      <c r="H107" s="84"/>
      <c r="I107" s="84"/>
      <c r="J107" s="84"/>
      <c r="K107" s="84"/>
      <c r="L107" s="84"/>
      <c r="U107" s="44"/>
      <c r="V107" s="86"/>
      <c r="W107" s="86"/>
      <c r="X107" s="86"/>
      <c r="Y107" s="86"/>
    </row>
    <row r="108" spans="2:25" x14ac:dyDescent="0.25">
      <c r="B108" s="85">
        <v>15</v>
      </c>
      <c r="C108" s="85"/>
      <c r="D108" s="85"/>
      <c r="E108" s="85"/>
      <c r="F108" s="85"/>
      <c r="G108" s="85"/>
      <c r="H108" s="85"/>
      <c r="I108" s="85"/>
      <c r="J108" s="85"/>
      <c r="K108" s="85"/>
      <c r="L108" s="85"/>
      <c r="U108" s="44"/>
      <c r="V108" s="86"/>
      <c r="W108" s="86"/>
      <c r="X108" s="86"/>
      <c r="Y108" s="86"/>
    </row>
    <row r="109" spans="2:25" x14ac:dyDescent="0.25">
      <c r="B109" s="84">
        <v>16</v>
      </c>
      <c r="C109" s="84"/>
      <c r="D109" s="84"/>
      <c r="E109" s="84"/>
      <c r="F109" s="84"/>
      <c r="G109" s="84"/>
      <c r="H109" s="84"/>
      <c r="I109" s="84"/>
      <c r="J109" s="84"/>
      <c r="K109" s="84"/>
      <c r="L109" s="84"/>
      <c r="U109" s="44"/>
      <c r="V109" s="86"/>
      <c r="W109" s="86"/>
      <c r="X109" s="86"/>
      <c r="Y109" s="86"/>
    </row>
    <row r="110" spans="2:25" x14ac:dyDescent="0.25">
      <c r="B110" s="85">
        <v>17</v>
      </c>
      <c r="C110" s="85"/>
      <c r="D110" s="85"/>
      <c r="E110" s="85"/>
      <c r="F110" s="85"/>
      <c r="G110" s="85"/>
      <c r="H110" s="85"/>
      <c r="I110" s="85"/>
      <c r="J110" s="85"/>
      <c r="K110" s="85"/>
      <c r="L110" s="85"/>
      <c r="U110" s="44"/>
      <c r="V110" s="86"/>
      <c r="W110" s="86"/>
      <c r="X110" s="86"/>
      <c r="Y110" s="86"/>
    </row>
    <row r="111" spans="2:25" x14ac:dyDescent="0.25">
      <c r="B111" s="84">
        <v>18</v>
      </c>
      <c r="C111" s="84"/>
      <c r="D111" s="84"/>
      <c r="E111" s="84"/>
      <c r="F111" s="84"/>
      <c r="G111" s="84"/>
      <c r="H111" s="84"/>
      <c r="I111" s="84"/>
      <c r="J111" s="84"/>
      <c r="K111" s="84"/>
      <c r="L111" s="84"/>
      <c r="U111" s="44"/>
      <c r="V111" s="86"/>
      <c r="W111" s="86"/>
      <c r="X111" s="86"/>
      <c r="Y111" s="86"/>
    </row>
    <row r="112" spans="2:25" x14ac:dyDescent="0.25">
      <c r="B112" s="85">
        <v>19</v>
      </c>
      <c r="C112" s="85"/>
      <c r="D112" s="85"/>
      <c r="E112" s="85"/>
      <c r="F112" s="85"/>
      <c r="G112" s="85"/>
      <c r="H112" s="85"/>
      <c r="I112" s="85"/>
      <c r="J112" s="85"/>
      <c r="K112" s="85"/>
      <c r="L112" s="85"/>
      <c r="U112" s="44"/>
      <c r="V112" s="86"/>
      <c r="W112" s="86"/>
      <c r="X112" s="86"/>
      <c r="Y112" s="86"/>
    </row>
    <row r="113" spans="2:25" x14ac:dyDescent="0.25">
      <c r="B113" s="84">
        <v>20</v>
      </c>
      <c r="C113" s="84"/>
      <c r="D113" s="84"/>
      <c r="E113" s="84"/>
      <c r="F113" s="84"/>
      <c r="G113" s="84"/>
      <c r="H113" s="84"/>
      <c r="I113" s="84"/>
      <c r="J113" s="84"/>
      <c r="K113" s="84"/>
      <c r="L113" s="84"/>
      <c r="U113" s="44"/>
      <c r="V113" s="86"/>
      <c r="W113" s="86"/>
      <c r="X113" s="86"/>
      <c r="Y113" s="86"/>
    </row>
    <row r="114" spans="2:25" x14ac:dyDescent="0.25">
      <c r="B114" s="85">
        <v>21</v>
      </c>
      <c r="C114" s="85"/>
      <c r="D114" s="85"/>
      <c r="E114" s="85"/>
      <c r="F114" s="85"/>
      <c r="G114" s="85"/>
      <c r="H114" s="85"/>
      <c r="I114" s="85"/>
      <c r="J114" s="85"/>
      <c r="K114" s="85"/>
      <c r="L114" s="85"/>
      <c r="U114" s="44"/>
      <c r="V114" s="86"/>
      <c r="W114" s="86"/>
      <c r="X114" s="86"/>
      <c r="Y114" s="86"/>
    </row>
    <row r="115" spans="2:25" x14ac:dyDescent="0.25">
      <c r="B115" s="84">
        <v>22</v>
      </c>
      <c r="C115" s="84"/>
      <c r="D115" s="84"/>
      <c r="E115" s="84"/>
      <c r="F115" s="84"/>
      <c r="G115" s="84"/>
      <c r="H115" s="84"/>
      <c r="I115" s="84"/>
      <c r="J115" s="84"/>
      <c r="K115" s="84"/>
      <c r="L115" s="84"/>
      <c r="U115" s="44"/>
      <c r="V115" s="86"/>
      <c r="W115" s="86"/>
      <c r="X115" s="86"/>
      <c r="Y115" s="86"/>
    </row>
    <row r="116" spans="2:25" x14ac:dyDescent="0.25">
      <c r="B116" s="85">
        <v>23</v>
      </c>
      <c r="C116" s="85"/>
      <c r="D116" s="85"/>
      <c r="E116" s="85"/>
      <c r="F116" s="85"/>
      <c r="G116" s="85"/>
      <c r="H116" s="85"/>
      <c r="I116" s="85"/>
      <c r="J116" s="85"/>
      <c r="K116" s="85"/>
      <c r="L116" s="85"/>
      <c r="U116" s="44"/>
      <c r="V116" s="86"/>
      <c r="W116" s="86"/>
      <c r="X116" s="86"/>
      <c r="Y116" s="86"/>
    </row>
    <row r="117" spans="2:25" x14ac:dyDescent="0.25">
      <c r="B117" s="84">
        <v>24</v>
      </c>
      <c r="C117" s="84"/>
      <c r="D117" s="84"/>
      <c r="E117" s="84"/>
      <c r="F117" s="84"/>
      <c r="G117" s="84"/>
      <c r="H117" s="84"/>
      <c r="I117" s="84"/>
      <c r="J117" s="84"/>
      <c r="K117" s="84"/>
      <c r="L117" s="84"/>
      <c r="U117" s="44"/>
      <c r="V117" s="86"/>
      <c r="W117" s="86"/>
      <c r="X117" s="86"/>
      <c r="Y117" s="86"/>
    </row>
    <row r="118" spans="2:25" x14ac:dyDescent="0.25">
      <c r="B118" s="85">
        <v>25</v>
      </c>
      <c r="C118" s="85"/>
      <c r="D118" s="85"/>
      <c r="E118" s="85"/>
      <c r="F118" s="85"/>
      <c r="G118" s="85"/>
      <c r="H118" s="85"/>
      <c r="I118" s="85"/>
      <c r="J118" s="85"/>
      <c r="K118" s="85"/>
      <c r="L118" s="85"/>
      <c r="U118" s="44"/>
      <c r="V118" s="86"/>
      <c r="W118" s="86"/>
      <c r="X118" s="86"/>
      <c r="Y118" s="86"/>
    </row>
    <row r="119" spans="2:25" x14ac:dyDescent="0.25">
      <c r="B119" s="84">
        <v>26</v>
      </c>
      <c r="C119" s="84"/>
      <c r="D119" s="84"/>
      <c r="E119" s="84"/>
      <c r="F119" s="84"/>
      <c r="G119" s="84"/>
      <c r="H119" s="84"/>
      <c r="I119" s="84"/>
      <c r="J119" s="84"/>
      <c r="K119" s="84"/>
      <c r="L119" s="84"/>
      <c r="U119" s="44"/>
      <c r="V119" s="86"/>
      <c r="W119" s="86"/>
      <c r="X119" s="86"/>
      <c r="Y119" s="86"/>
    </row>
    <row r="120" spans="2:25" x14ac:dyDescent="0.25">
      <c r="B120" s="85">
        <v>27</v>
      </c>
      <c r="C120" s="85"/>
      <c r="D120" s="85"/>
      <c r="E120" s="85"/>
      <c r="F120" s="85"/>
      <c r="G120" s="85"/>
      <c r="H120" s="85"/>
      <c r="I120" s="85"/>
      <c r="J120" s="85"/>
      <c r="K120" s="85"/>
      <c r="L120" s="85"/>
      <c r="U120" s="44"/>
      <c r="V120" s="86"/>
      <c r="W120" s="86"/>
      <c r="X120" s="86"/>
      <c r="Y120" s="86"/>
    </row>
    <row r="121" spans="2:25" x14ac:dyDescent="0.25">
      <c r="B121" s="84">
        <v>28</v>
      </c>
      <c r="C121" s="84"/>
      <c r="D121" s="84"/>
      <c r="E121" s="84"/>
      <c r="F121" s="84"/>
      <c r="G121" s="84"/>
      <c r="H121" s="84"/>
      <c r="I121" s="84"/>
      <c r="J121" s="84"/>
      <c r="K121" s="84"/>
      <c r="L121" s="84"/>
      <c r="U121" s="44"/>
      <c r="V121" s="86"/>
      <c r="W121" s="86"/>
      <c r="X121" s="86"/>
      <c r="Y121" s="86"/>
    </row>
    <row r="122" spans="2:25" x14ac:dyDescent="0.25">
      <c r="B122" s="85">
        <v>29</v>
      </c>
      <c r="C122" s="85"/>
      <c r="D122" s="85"/>
      <c r="E122" s="85"/>
      <c r="F122" s="85"/>
      <c r="G122" s="85"/>
      <c r="H122" s="85"/>
      <c r="I122" s="85"/>
      <c r="J122" s="85"/>
      <c r="K122" s="85"/>
      <c r="L122" s="85"/>
      <c r="U122" s="44"/>
      <c r="V122" s="86"/>
      <c r="W122" s="86"/>
      <c r="X122" s="86"/>
      <c r="Y122" s="86"/>
    </row>
    <row r="123" spans="2:25" x14ac:dyDescent="0.25">
      <c r="B123" s="84">
        <v>30</v>
      </c>
      <c r="C123" s="84"/>
      <c r="D123" s="84"/>
      <c r="E123" s="84"/>
      <c r="F123" s="84"/>
      <c r="G123" s="84"/>
      <c r="H123" s="84"/>
      <c r="I123" s="84"/>
      <c r="J123" s="84"/>
      <c r="K123" s="84"/>
      <c r="L123" s="84"/>
      <c r="U123" s="44"/>
      <c r="V123" s="86"/>
      <c r="W123" s="86"/>
      <c r="X123" s="86"/>
      <c r="Y123" s="86"/>
    </row>
    <row r="124" spans="2:25" x14ac:dyDescent="0.25">
      <c r="B124" s="85">
        <v>31</v>
      </c>
      <c r="C124" s="85"/>
      <c r="D124" s="85"/>
      <c r="E124" s="85"/>
      <c r="F124" s="85"/>
      <c r="G124" s="85"/>
      <c r="H124" s="85"/>
      <c r="I124" s="85"/>
      <c r="J124" s="85"/>
      <c r="K124" s="85"/>
      <c r="L124" s="85"/>
      <c r="U124" s="44"/>
      <c r="V124" s="86"/>
      <c r="W124" s="86"/>
      <c r="X124" s="86"/>
      <c r="Y124" s="86"/>
    </row>
    <row r="125" spans="2:25" x14ac:dyDescent="0.25">
      <c r="B125" s="84">
        <v>32</v>
      </c>
      <c r="C125" s="84"/>
      <c r="D125" s="84"/>
      <c r="E125" s="84"/>
      <c r="F125" s="84"/>
      <c r="G125" s="84"/>
      <c r="H125" s="84"/>
      <c r="I125" s="84"/>
      <c r="J125" s="84"/>
      <c r="K125" s="84"/>
      <c r="L125" s="84"/>
      <c r="U125" s="44"/>
      <c r="V125" s="86"/>
      <c r="W125" s="86"/>
      <c r="X125" s="86"/>
      <c r="Y125" s="86"/>
    </row>
    <row r="126" spans="2:25" x14ac:dyDescent="0.25">
      <c r="B126" s="85">
        <v>33</v>
      </c>
      <c r="C126" s="85"/>
      <c r="D126" s="85"/>
      <c r="E126" s="85"/>
      <c r="F126" s="85"/>
      <c r="G126" s="85"/>
      <c r="H126" s="85"/>
      <c r="I126" s="85"/>
      <c r="J126" s="85"/>
      <c r="K126" s="85"/>
      <c r="L126" s="85"/>
      <c r="U126" s="44"/>
      <c r="V126" s="86"/>
      <c r="W126" s="86"/>
      <c r="X126" s="86"/>
      <c r="Y126" s="86"/>
    </row>
    <row r="127" spans="2:25" x14ac:dyDescent="0.25">
      <c r="B127" s="84">
        <v>34</v>
      </c>
      <c r="C127" s="84"/>
      <c r="D127" s="84"/>
      <c r="E127" s="84"/>
      <c r="F127" s="84"/>
      <c r="G127" s="84"/>
      <c r="H127" s="84"/>
      <c r="I127" s="84"/>
      <c r="J127" s="84"/>
      <c r="K127" s="84"/>
      <c r="L127" s="84"/>
      <c r="U127" s="44"/>
      <c r="V127" s="86"/>
      <c r="W127" s="86"/>
      <c r="X127" s="86"/>
      <c r="Y127" s="86"/>
    </row>
    <row r="128" spans="2:25" x14ac:dyDescent="0.25">
      <c r="B128" s="85">
        <v>35</v>
      </c>
      <c r="C128" s="85"/>
      <c r="D128" s="85"/>
      <c r="E128" s="85"/>
      <c r="F128" s="85"/>
      <c r="G128" s="85"/>
      <c r="H128" s="85"/>
      <c r="I128" s="85"/>
      <c r="J128" s="85"/>
      <c r="K128" s="85"/>
      <c r="L128" s="85"/>
      <c r="U128" s="44"/>
      <c r="V128" s="86"/>
      <c r="W128" s="86"/>
      <c r="X128" s="86"/>
      <c r="Y128" s="86"/>
    </row>
    <row r="129" spans="2:25" x14ac:dyDescent="0.25">
      <c r="B129" s="84">
        <v>36</v>
      </c>
      <c r="C129" s="84"/>
      <c r="D129" s="84"/>
      <c r="E129" s="84"/>
      <c r="F129" s="84"/>
      <c r="G129" s="84"/>
      <c r="H129" s="84"/>
      <c r="I129" s="84"/>
      <c r="J129" s="84"/>
      <c r="K129" s="84"/>
      <c r="L129" s="84"/>
      <c r="U129" s="44"/>
      <c r="V129" s="86"/>
      <c r="W129" s="86"/>
      <c r="X129" s="86"/>
      <c r="Y129" s="86"/>
    </row>
    <row r="130" spans="2:25" x14ac:dyDescent="0.25">
      <c r="B130" s="85">
        <v>37</v>
      </c>
      <c r="C130" s="85"/>
      <c r="D130" s="85"/>
      <c r="E130" s="85"/>
      <c r="F130" s="85"/>
      <c r="G130" s="85"/>
      <c r="H130" s="85"/>
      <c r="I130" s="85"/>
      <c r="J130" s="85"/>
      <c r="K130" s="85"/>
      <c r="L130" s="85"/>
      <c r="U130" s="44"/>
      <c r="V130" s="86"/>
      <c r="W130" s="86"/>
      <c r="X130" s="86"/>
      <c r="Y130" s="86"/>
    </row>
    <row r="131" spans="2:25" x14ac:dyDescent="0.25">
      <c r="B131" s="84">
        <v>38</v>
      </c>
      <c r="C131" s="84"/>
      <c r="D131" s="84"/>
      <c r="E131" s="84"/>
      <c r="F131" s="84"/>
      <c r="G131" s="84"/>
      <c r="H131" s="84"/>
      <c r="I131" s="84"/>
      <c r="J131" s="84"/>
      <c r="K131" s="84"/>
      <c r="L131" s="84"/>
      <c r="U131" s="44"/>
      <c r="V131" s="86"/>
      <c r="W131" s="86"/>
      <c r="X131" s="86"/>
      <c r="Y131" s="86"/>
    </row>
    <row r="132" spans="2:25" x14ac:dyDescent="0.25">
      <c r="B132" s="85">
        <v>39</v>
      </c>
      <c r="C132" s="85"/>
      <c r="D132" s="85"/>
      <c r="E132" s="85"/>
      <c r="F132" s="85"/>
      <c r="G132" s="85"/>
      <c r="H132" s="85"/>
      <c r="I132" s="85"/>
      <c r="J132" s="85"/>
      <c r="K132" s="85"/>
      <c r="L132" s="85"/>
      <c r="U132" s="44"/>
      <c r="V132" s="86"/>
      <c r="W132" s="86"/>
      <c r="X132" s="86"/>
      <c r="Y132" s="86"/>
    </row>
    <row r="133" spans="2:25" x14ac:dyDescent="0.25">
      <c r="B133" s="84">
        <v>40</v>
      </c>
      <c r="C133" s="84"/>
      <c r="D133" s="84"/>
      <c r="E133" s="84"/>
      <c r="F133" s="84"/>
      <c r="G133" s="84"/>
      <c r="H133" s="84"/>
      <c r="I133" s="84"/>
      <c r="J133" s="84"/>
      <c r="K133" s="84"/>
      <c r="L133" s="84"/>
      <c r="U133" s="44"/>
      <c r="V133" s="86"/>
      <c r="W133" s="86"/>
      <c r="X133" s="86"/>
      <c r="Y133" s="86"/>
    </row>
    <row r="134" spans="2:25" x14ac:dyDescent="0.25">
      <c r="B134" s="85">
        <v>41</v>
      </c>
      <c r="C134" s="85"/>
      <c r="D134" s="85"/>
      <c r="E134" s="85"/>
      <c r="F134" s="85"/>
      <c r="G134" s="85"/>
      <c r="H134" s="85"/>
      <c r="I134" s="85"/>
      <c r="J134" s="85"/>
      <c r="K134" s="85"/>
      <c r="L134" s="85"/>
      <c r="U134" s="44"/>
      <c r="V134" s="86"/>
      <c r="W134" s="86"/>
      <c r="X134" s="86"/>
      <c r="Y134" s="86"/>
    </row>
    <row r="135" spans="2:25" x14ac:dyDescent="0.25">
      <c r="B135" s="84">
        <v>42</v>
      </c>
      <c r="C135" s="84"/>
      <c r="D135" s="84"/>
      <c r="E135" s="84"/>
      <c r="F135" s="84"/>
      <c r="G135" s="84"/>
      <c r="H135" s="84"/>
      <c r="I135" s="84"/>
      <c r="J135" s="84"/>
      <c r="K135" s="84"/>
      <c r="L135" s="84"/>
      <c r="U135" s="44"/>
      <c r="V135" s="86"/>
      <c r="W135" s="86"/>
      <c r="X135" s="86"/>
      <c r="Y135" s="86"/>
    </row>
    <row r="136" spans="2:25" x14ac:dyDescent="0.25">
      <c r="B136" s="85">
        <v>43</v>
      </c>
      <c r="C136" s="85"/>
      <c r="D136" s="85"/>
      <c r="E136" s="85"/>
      <c r="F136" s="85"/>
      <c r="G136" s="85"/>
      <c r="H136" s="85"/>
      <c r="I136" s="85"/>
      <c r="J136" s="85"/>
      <c r="K136" s="85"/>
      <c r="L136" s="85"/>
      <c r="U136" s="44"/>
      <c r="V136" s="86"/>
      <c r="W136" s="86"/>
      <c r="X136" s="86"/>
      <c r="Y136" s="86"/>
    </row>
    <row r="137" spans="2:25" x14ac:dyDescent="0.25">
      <c r="B137" s="84">
        <v>44</v>
      </c>
      <c r="C137" s="84"/>
      <c r="D137" s="84"/>
      <c r="E137" s="84"/>
      <c r="F137" s="84"/>
      <c r="G137" s="84"/>
      <c r="H137" s="84"/>
      <c r="I137" s="84"/>
      <c r="J137" s="84"/>
      <c r="K137" s="84"/>
      <c r="L137" s="84"/>
      <c r="U137" s="44"/>
      <c r="V137" s="86"/>
      <c r="W137" s="86"/>
      <c r="X137" s="86"/>
      <c r="Y137" s="86"/>
    </row>
    <row r="138" spans="2:25" x14ac:dyDescent="0.25">
      <c r="B138" s="85">
        <v>45</v>
      </c>
      <c r="C138" s="85"/>
      <c r="D138" s="85"/>
      <c r="E138" s="85"/>
      <c r="F138" s="85"/>
      <c r="G138" s="85"/>
      <c r="H138" s="85"/>
      <c r="I138" s="85"/>
      <c r="J138" s="85"/>
      <c r="K138" s="85"/>
      <c r="L138" s="85"/>
      <c r="U138" s="44"/>
      <c r="V138" s="86"/>
      <c r="W138" s="86"/>
      <c r="X138" s="86"/>
      <c r="Y138" s="86"/>
    </row>
    <row r="139" spans="2:25" x14ac:dyDescent="0.25">
      <c r="B139" s="84">
        <v>46</v>
      </c>
      <c r="C139" s="84"/>
      <c r="D139" s="84"/>
      <c r="E139" s="84"/>
      <c r="F139" s="84"/>
      <c r="G139" s="84"/>
      <c r="H139" s="84"/>
      <c r="I139" s="84"/>
      <c r="J139" s="84"/>
      <c r="K139" s="84"/>
      <c r="L139" s="84"/>
      <c r="U139" s="44"/>
      <c r="V139" s="86"/>
      <c r="W139" s="86"/>
      <c r="X139" s="86"/>
      <c r="Y139" s="86"/>
    </row>
    <row r="140" spans="2:25" x14ac:dyDescent="0.25">
      <c r="B140" s="85">
        <v>47</v>
      </c>
      <c r="C140" s="85"/>
      <c r="D140" s="85"/>
      <c r="E140" s="85"/>
      <c r="F140" s="85"/>
      <c r="G140" s="85"/>
      <c r="H140" s="85"/>
      <c r="I140" s="85"/>
      <c r="J140" s="85"/>
      <c r="K140" s="85"/>
      <c r="L140" s="85"/>
      <c r="U140" s="44"/>
      <c r="V140" s="86"/>
      <c r="W140" s="86"/>
      <c r="X140" s="86"/>
      <c r="Y140" s="86"/>
    </row>
    <row r="141" spans="2:25" x14ac:dyDescent="0.25">
      <c r="B141" s="84">
        <v>48</v>
      </c>
      <c r="C141" s="84"/>
      <c r="D141" s="84"/>
      <c r="E141" s="84"/>
      <c r="F141" s="84"/>
      <c r="G141" s="84"/>
      <c r="H141" s="84"/>
      <c r="I141" s="84"/>
      <c r="J141" s="84"/>
      <c r="K141" s="84"/>
      <c r="L141" s="84"/>
      <c r="U141" s="44"/>
      <c r="V141" s="86"/>
      <c r="W141" s="86"/>
      <c r="X141" s="86"/>
      <c r="Y141" s="86"/>
    </row>
    <row r="142" spans="2:25" x14ac:dyDescent="0.25">
      <c r="B142" s="85">
        <v>49</v>
      </c>
      <c r="C142" s="85"/>
      <c r="D142" s="85"/>
      <c r="E142" s="85"/>
      <c r="F142" s="85"/>
      <c r="G142" s="85"/>
      <c r="H142" s="85"/>
      <c r="I142" s="85"/>
      <c r="J142" s="85"/>
      <c r="K142" s="85"/>
      <c r="L142" s="85"/>
      <c r="U142" s="44"/>
      <c r="V142" s="86"/>
      <c r="W142" s="86"/>
      <c r="X142" s="86"/>
      <c r="Y142" s="86"/>
    </row>
    <row r="143" spans="2:25" x14ac:dyDescent="0.25">
      <c r="B143" s="84">
        <v>50</v>
      </c>
      <c r="C143" s="84"/>
      <c r="D143" s="84"/>
      <c r="E143" s="84"/>
      <c r="F143" s="84"/>
      <c r="G143" s="84"/>
      <c r="H143" s="84"/>
      <c r="I143" s="84"/>
      <c r="J143" s="84"/>
      <c r="K143" s="84"/>
      <c r="L143" s="84"/>
      <c r="U143" s="44"/>
      <c r="V143" s="86"/>
      <c r="W143" s="86"/>
      <c r="X143" s="86"/>
      <c r="Y143" s="86"/>
    </row>
    <row r="144" spans="2:25" x14ac:dyDescent="0.25">
      <c r="B144" s="85">
        <v>51</v>
      </c>
      <c r="C144" s="85"/>
      <c r="D144" s="85"/>
      <c r="E144" s="85"/>
      <c r="F144" s="85"/>
      <c r="G144" s="85"/>
      <c r="H144" s="85"/>
      <c r="I144" s="85"/>
      <c r="J144" s="85"/>
      <c r="K144" s="85"/>
      <c r="L144" s="85"/>
      <c r="U144" s="44"/>
      <c r="V144" s="86"/>
      <c r="W144" s="86"/>
      <c r="X144" s="86"/>
      <c r="Y144" s="86"/>
    </row>
    <row r="145" spans="2:25" x14ac:dyDescent="0.25">
      <c r="B145" s="84">
        <v>52</v>
      </c>
      <c r="C145" s="84"/>
      <c r="D145" s="84"/>
      <c r="E145" s="84"/>
      <c r="F145" s="84"/>
      <c r="G145" s="84"/>
      <c r="H145" s="84"/>
      <c r="I145" s="84"/>
      <c r="J145" s="84"/>
      <c r="K145" s="84"/>
      <c r="L145" s="84"/>
      <c r="U145" s="44"/>
      <c r="V145" s="86"/>
      <c r="W145" s="86"/>
      <c r="X145" s="86"/>
      <c r="Y145" s="86"/>
    </row>
    <row r="146" spans="2:25" x14ac:dyDescent="0.25">
      <c r="B146" s="85">
        <v>53</v>
      </c>
      <c r="C146" s="85"/>
      <c r="D146" s="85"/>
      <c r="E146" s="85"/>
      <c r="F146" s="85"/>
      <c r="G146" s="85"/>
      <c r="H146" s="85"/>
      <c r="I146" s="85"/>
      <c r="J146" s="85"/>
      <c r="K146" s="85"/>
      <c r="L146" s="85"/>
      <c r="U146" s="44"/>
      <c r="V146" s="86"/>
      <c r="W146" s="86"/>
      <c r="X146" s="86"/>
      <c r="Y146" s="86"/>
    </row>
    <row r="147" spans="2:25" x14ac:dyDescent="0.25">
      <c r="B147" s="84">
        <v>54</v>
      </c>
      <c r="C147" s="84"/>
      <c r="D147" s="84"/>
      <c r="E147" s="84"/>
      <c r="F147" s="84"/>
      <c r="G147" s="84"/>
      <c r="H147" s="84"/>
      <c r="I147" s="84"/>
      <c r="J147" s="84"/>
      <c r="K147" s="84"/>
      <c r="L147" s="84"/>
      <c r="U147" s="44"/>
      <c r="V147" s="86"/>
      <c r="W147" s="86"/>
      <c r="X147" s="86"/>
      <c r="Y147" s="86"/>
    </row>
    <row r="148" spans="2:25" x14ac:dyDescent="0.25">
      <c r="B148" s="85">
        <v>55</v>
      </c>
      <c r="C148" s="85"/>
      <c r="D148" s="85"/>
      <c r="E148" s="85"/>
      <c r="F148" s="85"/>
      <c r="G148" s="85"/>
      <c r="H148" s="85"/>
      <c r="I148" s="85"/>
      <c r="J148" s="85"/>
      <c r="K148" s="85"/>
      <c r="L148" s="85"/>
      <c r="U148" s="44"/>
      <c r="V148" s="86"/>
      <c r="W148" s="86"/>
      <c r="X148" s="86"/>
      <c r="Y148" s="86"/>
    </row>
    <row r="149" spans="2:25" x14ac:dyDescent="0.25">
      <c r="B149" s="84">
        <v>56</v>
      </c>
      <c r="C149" s="84"/>
      <c r="D149" s="84"/>
      <c r="E149" s="84"/>
      <c r="F149" s="84"/>
      <c r="G149" s="84"/>
      <c r="H149" s="84"/>
      <c r="I149" s="84"/>
      <c r="J149" s="84"/>
      <c r="K149" s="84"/>
      <c r="L149" s="84"/>
      <c r="U149" s="44"/>
      <c r="V149" s="86"/>
      <c r="W149" s="86"/>
      <c r="X149" s="86"/>
      <c r="Y149" s="86"/>
    </row>
    <row r="150" spans="2:25" x14ac:dyDescent="0.25">
      <c r="B150" s="85">
        <v>57</v>
      </c>
      <c r="C150" s="85"/>
      <c r="D150" s="85"/>
      <c r="E150" s="85"/>
      <c r="F150" s="85"/>
      <c r="G150" s="85"/>
      <c r="H150" s="85"/>
      <c r="I150" s="85"/>
      <c r="J150" s="85"/>
      <c r="K150" s="85"/>
      <c r="L150" s="85"/>
      <c r="U150" s="44"/>
      <c r="V150" s="86"/>
      <c r="W150" s="86"/>
      <c r="X150" s="86"/>
      <c r="Y150" s="86"/>
    </row>
    <row r="151" spans="2:25" x14ac:dyDescent="0.25">
      <c r="B151" s="84">
        <v>58</v>
      </c>
      <c r="C151" s="84"/>
      <c r="D151" s="84"/>
      <c r="E151" s="84"/>
      <c r="F151" s="84"/>
      <c r="G151" s="84"/>
      <c r="H151" s="84"/>
      <c r="I151" s="84"/>
      <c r="J151" s="84"/>
      <c r="K151" s="84"/>
      <c r="L151" s="84"/>
      <c r="U151" s="44"/>
      <c r="V151" s="86"/>
      <c r="W151" s="86"/>
      <c r="X151" s="86"/>
      <c r="Y151" s="86"/>
    </row>
    <row r="152" spans="2:25" x14ac:dyDescent="0.25">
      <c r="B152" s="85">
        <v>59</v>
      </c>
      <c r="C152" s="85"/>
      <c r="D152" s="85"/>
      <c r="E152" s="85"/>
      <c r="F152" s="85"/>
      <c r="G152" s="85"/>
      <c r="H152" s="85"/>
      <c r="I152" s="85"/>
      <c r="J152" s="85"/>
      <c r="K152" s="85"/>
      <c r="L152" s="85"/>
      <c r="U152" s="44"/>
      <c r="V152" s="86"/>
      <c r="W152" s="86"/>
      <c r="X152" s="86"/>
      <c r="Y152" s="86"/>
    </row>
    <row r="153" spans="2:25" x14ac:dyDescent="0.25">
      <c r="B153" s="84">
        <v>60</v>
      </c>
      <c r="C153" s="84"/>
      <c r="D153" s="84"/>
      <c r="E153" s="84"/>
      <c r="F153" s="84"/>
      <c r="G153" s="84"/>
      <c r="H153" s="84"/>
      <c r="I153" s="84"/>
      <c r="J153" s="84"/>
      <c r="K153" s="84"/>
      <c r="L153" s="84"/>
      <c r="U153" s="44"/>
      <c r="V153" s="86"/>
      <c r="W153" s="86"/>
      <c r="X153" s="86"/>
      <c r="Y153" s="86"/>
    </row>
    <row r="154" spans="2:25" x14ac:dyDescent="0.25">
      <c r="B154" s="85">
        <v>61</v>
      </c>
      <c r="C154" s="85"/>
      <c r="D154" s="85"/>
      <c r="E154" s="85"/>
      <c r="F154" s="85"/>
      <c r="G154" s="85"/>
      <c r="H154" s="85"/>
      <c r="I154" s="85"/>
      <c r="J154" s="85"/>
      <c r="K154" s="85"/>
      <c r="L154" s="85"/>
      <c r="U154" s="44"/>
      <c r="V154" s="86"/>
      <c r="W154" s="86"/>
      <c r="X154" s="86"/>
      <c r="Y154" s="86"/>
    </row>
    <row r="155" spans="2:25" x14ac:dyDescent="0.25">
      <c r="B155" s="84">
        <v>62</v>
      </c>
      <c r="C155" s="84"/>
      <c r="D155" s="84"/>
      <c r="E155" s="84"/>
      <c r="F155" s="84"/>
      <c r="G155" s="84"/>
      <c r="H155" s="84"/>
      <c r="I155" s="84"/>
      <c r="J155" s="84"/>
      <c r="K155" s="84"/>
      <c r="L155" s="84"/>
      <c r="U155" s="44"/>
      <c r="V155" s="86"/>
      <c r="W155" s="86"/>
      <c r="X155" s="86"/>
      <c r="Y155" s="86"/>
    </row>
    <row r="156" spans="2:25" x14ac:dyDescent="0.25">
      <c r="B156" s="85">
        <v>63</v>
      </c>
      <c r="C156" s="85"/>
      <c r="D156" s="85"/>
      <c r="E156" s="85"/>
      <c r="F156" s="85"/>
      <c r="G156" s="85"/>
      <c r="H156" s="85"/>
      <c r="I156" s="85"/>
      <c r="J156" s="85"/>
      <c r="K156" s="85"/>
      <c r="L156" s="85"/>
      <c r="U156" s="44"/>
      <c r="V156" s="86"/>
      <c r="W156" s="86"/>
      <c r="X156" s="86"/>
      <c r="Y156" s="86"/>
    </row>
    <row r="157" spans="2:25" x14ac:dyDescent="0.25">
      <c r="B157" s="84">
        <v>64</v>
      </c>
      <c r="C157" s="84"/>
      <c r="D157" s="84"/>
      <c r="E157" s="84"/>
      <c r="F157" s="84"/>
      <c r="G157" s="84"/>
      <c r="H157" s="84"/>
      <c r="I157" s="84"/>
      <c r="J157" s="84"/>
      <c r="K157" s="84"/>
      <c r="L157" s="84"/>
      <c r="U157" s="44"/>
      <c r="V157" s="86"/>
      <c r="W157" s="86"/>
      <c r="X157" s="86"/>
      <c r="Y157" s="86"/>
    </row>
    <row r="158" spans="2:25" x14ac:dyDescent="0.25">
      <c r="B158" s="85">
        <v>65</v>
      </c>
      <c r="C158" s="85"/>
      <c r="D158" s="85"/>
      <c r="E158" s="85"/>
      <c r="F158" s="85"/>
      <c r="G158" s="85"/>
      <c r="H158" s="85"/>
      <c r="I158" s="85"/>
      <c r="J158" s="85"/>
      <c r="K158" s="85"/>
      <c r="L158" s="85"/>
      <c r="U158" s="44"/>
      <c r="V158" s="86"/>
      <c r="W158" s="86"/>
      <c r="X158" s="86"/>
      <c r="Y158" s="86"/>
    </row>
    <row r="159" spans="2:25" x14ac:dyDescent="0.25">
      <c r="B159" s="84">
        <v>66</v>
      </c>
      <c r="C159" s="84"/>
      <c r="D159" s="84"/>
      <c r="E159" s="84"/>
      <c r="F159" s="84"/>
      <c r="G159" s="84"/>
      <c r="H159" s="84"/>
      <c r="I159" s="84"/>
      <c r="J159" s="84"/>
      <c r="K159" s="84"/>
      <c r="L159" s="84"/>
      <c r="U159" s="44"/>
      <c r="V159" s="86"/>
      <c r="W159" s="86"/>
      <c r="X159" s="86"/>
      <c r="Y159" s="86"/>
    </row>
    <row r="160" spans="2:25" x14ac:dyDescent="0.25">
      <c r="B160" s="85">
        <v>67</v>
      </c>
      <c r="C160" s="85"/>
      <c r="D160" s="85"/>
      <c r="E160" s="85"/>
      <c r="F160" s="85"/>
      <c r="G160" s="85"/>
      <c r="H160" s="85"/>
      <c r="I160" s="85"/>
      <c r="J160" s="85"/>
      <c r="K160" s="85"/>
      <c r="L160" s="85"/>
      <c r="U160" s="44"/>
      <c r="V160" s="86"/>
      <c r="W160" s="86"/>
      <c r="X160" s="86"/>
      <c r="Y160" s="86"/>
    </row>
    <row r="161" spans="2:25" x14ac:dyDescent="0.25">
      <c r="B161" s="84">
        <v>68</v>
      </c>
      <c r="C161" s="84"/>
      <c r="D161" s="84"/>
      <c r="E161" s="84"/>
      <c r="F161" s="84"/>
      <c r="G161" s="84"/>
      <c r="H161" s="84"/>
      <c r="I161" s="84"/>
      <c r="J161" s="84"/>
      <c r="K161" s="84"/>
      <c r="L161" s="84"/>
      <c r="U161" s="44"/>
      <c r="V161" s="86"/>
      <c r="W161" s="86"/>
      <c r="X161" s="86"/>
      <c r="Y161" s="86"/>
    </row>
    <row r="162" spans="2:25" x14ac:dyDescent="0.25">
      <c r="B162" s="85">
        <v>69</v>
      </c>
      <c r="C162" s="85"/>
      <c r="D162" s="85"/>
      <c r="E162" s="85"/>
      <c r="F162" s="85"/>
      <c r="G162" s="85"/>
      <c r="H162" s="85"/>
      <c r="I162" s="85"/>
      <c r="J162" s="85"/>
      <c r="K162" s="85"/>
      <c r="L162" s="85"/>
      <c r="U162" s="44"/>
      <c r="V162" s="86"/>
      <c r="W162" s="86"/>
      <c r="X162" s="86"/>
      <c r="Y162" s="86"/>
    </row>
    <row r="163" spans="2:25" x14ac:dyDescent="0.25">
      <c r="B163" s="84">
        <v>70</v>
      </c>
      <c r="C163" s="84"/>
      <c r="D163" s="84"/>
      <c r="E163" s="84"/>
      <c r="F163" s="84"/>
      <c r="G163" s="84"/>
      <c r="H163" s="84"/>
      <c r="I163" s="84"/>
      <c r="J163" s="84"/>
      <c r="K163" s="84"/>
      <c r="L163" s="84"/>
      <c r="W163" s="86"/>
    </row>
    <row r="164" spans="2:25" x14ac:dyDescent="0.25">
      <c r="B164" s="85">
        <v>71</v>
      </c>
      <c r="C164" s="85"/>
      <c r="D164" s="85"/>
      <c r="E164" s="85"/>
      <c r="F164" s="85"/>
      <c r="G164" s="85"/>
      <c r="H164" s="85"/>
      <c r="I164" s="85"/>
      <c r="J164" s="85"/>
      <c r="K164" s="85"/>
      <c r="L164" s="85"/>
    </row>
    <row r="165" spans="2:25" x14ac:dyDescent="0.25">
      <c r="B165" s="84">
        <v>72</v>
      </c>
      <c r="C165" s="84"/>
      <c r="D165" s="84"/>
      <c r="E165" s="84"/>
      <c r="F165" s="84"/>
      <c r="G165" s="84"/>
      <c r="H165" s="84"/>
      <c r="I165" s="84"/>
      <c r="J165" s="84"/>
      <c r="K165" s="84"/>
      <c r="L165" s="84"/>
    </row>
    <row r="166" spans="2:25" x14ac:dyDescent="0.25">
      <c r="B166" s="85">
        <v>73</v>
      </c>
      <c r="C166" s="85"/>
      <c r="D166" s="85"/>
      <c r="E166" s="85"/>
      <c r="F166" s="85"/>
      <c r="G166" s="85"/>
      <c r="H166" s="85"/>
      <c r="I166" s="85"/>
      <c r="J166" s="85"/>
      <c r="K166" s="85"/>
      <c r="L166" s="85"/>
    </row>
    <row r="167" spans="2:25" x14ac:dyDescent="0.25">
      <c r="B167" s="84">
        <v>74</v>
      </c>
      <c r="C167" s="84"/>
      <c r="D167" s="84"/>
      <c r="E167" s="84"/>
      <c r="F167" s="84"/>
      <c r="G167" s="84"/>
      <c r="H167" s="84"/>
      <c r="I167" s="84"/>
      <c r="J167" s="84"/>
      <c r="K167" s="84"/>
      <c r="L167" s="84"/>
    </row>
    <row r="168" spans="2:25" x14ac:dyDescent="0.25">
      <c r="B168" s="85">
        <v>75</v>
      </c>
      <c r="C168" s="85"/>
      <c r="D168" s="85"/>
      <c r="E168" s="85"/>
      <c r="F168" s="85"/>
      <c r="G168" s="85"/>
      <c r="H168" s="85"/>
      <c r="I168" s="85"/>
      <c r="J168" s="85"/>
      <c r="K168" s="85"/>
      <c r="L168" s="85"/>
    </row>
    <row r="169" spans="2:25" x14ac:dyDescent="0.25">
      <c r="B169" s="84">
        <v>76</v>
      </c>
      <c r="C169" s="84"/>
      <c r="D169" s="84"/>
      <c r="E169" s="84"/>
      <c r="F169" s="84"/>
      <c r="G169" s="84"/>
      <c r="H169" s="84"/>
      <c r="I169" s="84"/>
      <c r="J169" s="84"/>
      <c r="K169" s="84"/>
      <c r="L169" s="84"/>
    </row>
    <row r="170" spans="2:25" x14ac:dyDescent="0.25">
      <c r="B170" s="85">
        <v>77</v>
      </c>
      <c r="C170" s="85"/>
      <c r="D170" s="85"/>
      <c r="E170" s="85"/>
      <c r="F170" s="85"/>
      <c r="G170" s="85"/>
      <c r="H170" s="85"/>
      <c r="I170" s="85"/>
      <c r="J170" s="85"/>
      <c r="K170" s="85"/>
      <c r="L170" s="85"/>
    </row>
    <row r="171" spans="2:25" x14ac:dyDescent="0.25">
      <c r="B171" s="84">
        <v>78</v>
      </c>
      <c r="C171" s="84"/>
      <c r="D171" s="84"/>
      <c r="E171" s="84"/>
      <c r="F171" s="84"/>
      <c r="G171" s="84"/>
      <c r="H171" s="84"/>
      <c r="I171" s="84"/>
      <c r="J171" s="84"/>
      <c r="K171" s="84"/>
      <c r="L171" s="84"/>
    </row>
    <row r="172" spans="2:25" x14ac:dyDescent="0.25">
      <c r="B172" s="85">
        <v>79</v>
      </c>
      <c r="C172" s="85"/>
      <c r="D172" s="85"/>
      <c r="E172" s="85"/>
      <c r="F172" s="85"/>
      <c r="G172" s="85"/>
      <c r="H172" s="85"/>
      <c r="I172" s="85"/>
      <c r="J172" s="85"/>
      <c r="K172" s="85"/>
      <c r="L172" s="85"/>
    </row>
    <row r="173" spans="2:25" x14ac:dyDescent="0.25">
      <c r="B173" s="84">
        <v>80</v>
      </c>
      <c r="C173" s="84"/>
      <c r="D173" s="84"/>
      <c r="E173" s="84"/>
      <c r="F173" s="84"/>
      <c r="G173" s="84"/>
      <c r="H173" s="84"/>
      <c r="I173" s="84"/>
      <c r="J173" s="84"/>
      <c r="K173" s="84"/>
      <c r="L173" s="84"/>
    </row>
    <row r="174" spans="2:25" x14ac:dyDescent="0.25">
      <c r="B174" s="85">
        <v>81</v>
      </c>
      <c r="C174" s="85"/>
      <c r="D174" s="85"/>
      <c r="E174" s="85"/>
      <c r="F174" s="85"/>
      <c r="G174" s="85"/>
      <c r="H174" s="85"/>
      <c r="I174" s="85"/>
      <c r="J174" s="85"/>
      <c r="K174" s="85"/>
      <c r="L174" s="85"/>
    </row>
    <row r="175" spans="2:25" x14ac:dyDescent="0.25">
      <c r="B175" s="84">
        <v>82</v>
      </c>
      <c r="C175" s="84"/>
      <c r="D175" s="84"/>
      <c r="E175" s="84"/>
      <c r="F175" s="84"/>
      <c r="G175" s="84"/>
      <c r="H175" s="84"/>
      <c r="I175" s="84"/>
      <c r="J175" s="84"/>
      <c r="K175" s="84"/>
      <c r="L175" s="84"/>
    </row>
    <row r="176" spans="2:25" x14ac:dyDescent="0.25">
      <c r="B176" s="85">
        <v>83</v>
      </c>
      <c r="C176" s="85"/>
      <c r="D176" s="85"/>
      <c r="E176" s="85"/>
      <c r="F176" s="85"/>
      <c r="G176" s="85"/>
      <c r="H176" s="85"/>
      <c r="I176" s="85"/>
      <c r="J176" s="85"/>
      <c r="K176" s="85"/>
      <c r="L176" s="85"/>
    </row>
    <row r="177" spans="2:12" x14ac:dyDescent="0.25">
      <c r="B177" s="84">
        <v>84</v>
      </c>
      <c r="C177" s="84"/>
      <c r="D177" s="84"/>
      <c r="E177" s="84"/>
      <c r="F177" s="84"/>
      <c r="G177" s="84"/>
      <c r="H177" s="84"/>
      <c r="I177" s="84"/>
      <c r="J177" s="84"/>
      <c r="K177" s="84"/>
      <c r="L177" s="84"/>
    </row>
    <row r="178" spans="2:12" x14ac:dyDescent="0.25">
      <c r="B178" s="85">
        <v>85</v>
      </c>
      <c r="C178" s="85"/>
      <c r="D178" s="85"/>
      <c r="E178" s="85"/>
      <c r="F178" s="85"/>
      <c r="G178" s="85"/>
      <c r="H178" s="85"/>
      <c r="I178" s="85"/>
      <c r="J178" s="85"/>
      <c r="K178" s="85"/>
      <c r="L178" s="85"/>
    </row>
    <row r="179" spans="2:12" x14ac:dyDescent="0.25">
      <c r="B179" s="84">
        <v>86</v>
      </c>
      <c r="C179" s="84"/>
      <c r="D179" s="84"/>
      <c r="E179" s="84"/>
      <c r="F179" s="84"/>
      <c r="G179" s="84"/>
      <c r="H179" s="84"/>
      <c r="I179" s="84"/>
      <c r="J179" s="84"/>
      <c r="K179" s="84"/>
      <c r="L179" s="84"/>
    </row>
    <row r="180" spans="2:12" x14ac:dyDescent="0.25">
      <c r="B180" s="85">
        <v>87</v>
      </c>
      <c r="C180" s="85"/>
      <c r="D180" s="85"/>
      <c r="E180" s="85"/>
      <c r="F180" s="85"/>
      <c r="G180" s="85"/>
      <c r="H180" s="85"/>
      <c r="I180" s="85"/>
      <c r="J180" s="85"/>
      <c r="K180" s="85"/>
      <c r="L180" s="85"/>
    </row>
    <row r="181" spans="2:12" x14ac:dyDescent="0.25">
      <c r="B181" s="84">
        <v>88</v>
      </c>
      <c r="C181" s="84"/>
      <c r="D181" s="84"/>
      <c r="E181" s="84"/>
      <c r="F181" s="84"/>
      <c r="G181" s="84"/>
      <c r="H181" s="84"/>
      <c r="I181" s="84"/>
      <c r="J181" s="84"/>
      <c r="K181" s="84"/>
      <c r="L181" s="84"/>
    </row>
    <row r="182" spans="2:12" x14ac:dyDescent="0.25">
      <c r="B182" s="85">
        <v>89</v>
      </c>
      <c r="C182" s="85"/>
      <c r="D182" s="85"/>
      <c r="E182" s="85"/>
      <c r="F182" s="85"/>
      <c r="G182" s="85"/>
      <c r="H182" s="85"/>
      <c r="I182" s="85"/>
      <c r="J182" s="85"/>
      <c r="K182" s="85"/>
      <c r="L182" s="85"/>
    </row>
    <row r="183" spans="2:12" x14ac:dyDescent="0.25">
      <c r="B183" s="84">
        <v>90</v>
      </c>
      <c r="C183" s="84"/>
      <c r="D183" s="84"/>
      <c r="E183" s="84"/>
      <c r="F183" s="84"/>
      <c r="G183" s="84"/>
      <c r="H183" s="84"/>
      <c r="I183" s="84"/>
      <c r="J183" s="84"/>
      <c r="K183" s="84"/>
      <c r="L183" s="84"/>
    </row>
    <row r="184" spans="2:12" x14ac:dyDescent="0.25">
      <c r="B184" s="85">
        <v>91</v>
      </c>
      <c r="C184" s="85"/>
      <c r="D184" s="85"/>
      <c r="E184" s="85"/>
      <c r="F184" s="85"/>
      <c r="G184" s="85"/>
      <c r="H184" s="85"/>
      <c r="I184" s="85"/>
      <c r="J184" s="85"/>
      <c r="K184" s="85"/>
      <c r="L184" s="85"/>
    </row>
    <row r="185" spans="2:12" x14ac:dyDescent="0.25">
      <c r="B185" s="84">
        <v>92</v>
      </c>
      <c r="C185" s="84"/>
      <c r="D185" s="84"/>
      <c r="E185" s="84"/>
      <c r="F185" s="84"/>
      <c r="G185" s="84"/>
      <c r="H185" s="84"/>
      <c r="I185" s="84"/>
      <c r="J185" s="84"/>
      <c r="K185" s="84"/>
      <c r="L185" s="84"/>
    </row>
    <row r="186" spans="2:12" x14ac:dyDescent="0.25">
      <c r="B186" s="85">
        <v>93</v>
      </c>
      <c r="C186" s="85"/>
      <c r="D186" s="85"/>
      <c r="E186" s="85"/>
      <c r="F186" s="85"/>
      <c r="G186" s="85"/>
      <c r="H186" s="85"/>
      <c r="I186" s="85"/>
      <c r="J186" s="85"/>
      <c r="K186" s="85"/>
      <c r="L186" s="85"/>
    </row>
    <row r="187" spans="2:12" x14ac:dyDescent="0.25">
      <c r="B187" s="84">
        <v>94</v>
      </c>
      <c r="C187" s="84"/>
      <c r="D187" s="84"/>
      <c r="E187" s="84"/>
      <c r="F187" s="84"/>
      <c r="G187" s="84"/>
      <c r="H187" s="84"/>
      <c r="I187" s="84"/>
      <c r="J187" s="84"/>
      <c r="K187" s="84"/>
      <c r="L187" s="84"/>
    </row>
    <row r="188" spans="2:12" x14ac:dyDescent="0.25">
      <c r="B188" s="85">
        <v>95</v>
      </c>
      <c r="C188" s="85"/>
      <c r="D188" s="85"/>
      <c r="E188" s="85"/>
      <c r="F188" s="85"/>
      <c r="G188" s="85"/>
      <c r="H188" s="85"/>
      <c r="I188" s="85"/>
      <c r="J188" s="85"/>
      <c r="K188" s="85"/>
      <c r="L188" s="85"/>
    </row>
    <row r="189" spans="2:12" x14ac:dyDescent="0.25">
      <c r="B189" s="84">
        <v>96</v>
      </c>
      <c r="C189" s="84"/>
      <c r="D189" s="84"/>
      <c r="E189" s="84"/>
      <c r="F189" s="84"/>
      <c r="G189" s="84"/>
      <c r="H189" s="84"/>
      <c r="I189" s="84"/>
      <c r="J189" s="84"/>
      <c r="K189" s="84"/>
      <c r="L189" s="84"/>
    </row>
    <row r="190" spans="2:12" x14ac:dyDescent="0.25">
      <c r="B190" s="85">
        <v>97</v>
      </c>
      <c r="C190" s="85"/>
      <c r="D190" s="85"/>
      <c r="E190" s="85"/>
      <c r="F190" s="85"/>
      <c r="G190" s="85"/>
      <c r="H190" s="85"/>
      <c r="I190" s="85"/>
      <c r="J190" s="85"/>
      <c r="K190" s="85"/>
      <c r="L190" s="85"/>
    </row>
    <row r="191" spans="2:12" x14ac:dyDescent="0.25">
      <c r="B191" s="84">
        <v>98</v>
      </c>
      <c r="C191" s="84"/>
      <c r="D191" s="84"/>
      <c r="E191" s="84"/>
      <c r="F191" s="84"/>
      <c r="G191" s="84"/>
      <c r="H191" s="84"/>
      <c r="I191" s="84"/>
      <c r="J191" s="84"/>
      <c r="K191" s="84"/>
      <c r="L191" s="84"/>
    </row>
    <row r="192" spans="2:12" x14ac:dyDescent="0.25">
      <c r="B192" s="85">
        <v>99</v>
      </c>
      <c r="C192" s="85"/>
      <c r="D192" s="85"/>
      <c r="E192" s="85"/>
      <c r="F192" s="85"/>
      <c r="G192" s="85"/>
      <c r="H192" s="85"/>
      <c r="I192" s="85"/>
      <c r="J192" s="85"/>
      <c r="K192" s="85"/>
      <c r="L192" s="85"/>
    </row>
    <row r="193" spans="2:12" x14ac:dyDescent="0.25">
      <c r="B193" s="84">
        <v>100</v>
      </c>
      <c r="C193" s="84"/>
      <c r="D193" s="84"/>
      <c r="E193" s="84"/>
      <c r="F193" s="84"/>
      <c r="G193" s="84"/>
      <c r="H193" s="84"/>
      <c r="I193" s="84"/>
      <c r="J193" s="84"/>
      <c r="K193" s="84"/>
      <c r="L193" s="84"/>
    </row>
    <row r="194" spans="2:12" x14ac:dyDescent="0.25">
      <c r="B194" s="85">
        <v>101</v>
      </c>
      <c r="C194" s="85"/>
      <c r="D194" s="85"/>
      <c r="E194" s="85"/>
      <c r="F194" s="85"/>
      <c r="G194" s="85"/>
      <c r="H194" s="85"/>
      <c r="I194" s="85"/>
      <c r="J194" s="85"/>
      <c r="K194" s="85"/>
      <c r="L194" s="85"/>
    </row>
    <row r="195" spans="2:12" x14ac:dyDescent="0.25">
      <c r="B195" s="84">
        <v>102</v>
      </c>
      <c r="C195" s="84"/>
      <c r="D195" s="84"/>
      <c r="E195" s="84"/>
      <c r="F195" s="84"/>
      <c r="G195" s="84"/>
      <c r="H195" s="84"/>
      <c r="I195" s="84"/>
      <c r="J195" s="84"/>
      <c r="K195" s="84"/>
      <c r="L195" s="84"/>
    </row>
    <row r="196" spans="2:12" x14ac:dyDescent="0.25">
      <c r="B196" s="85">
        <v>103</v>
      </c>
      <c r="C196" s="85"/>
      <c r="D196" s="85"/>
      <c r="E196" s="85"/>
      <c r="F196" s="85"/>
      <c r="G196" s="85"/>
      <c r="H196" s="85"/>
      <c r="I196" s="85"/>
      <c r="J196" s="85"/>
      <c r="K196" s="85"/>
      <c r="L196" s="85"/>
    </row>
    <row r="197" spans="2:12" x14ac:dyDescent="0.25">
      <c r="B197" s="84">
        <v>104</v>
      </c>
      <c r="C197" s="84"/>
      <c r="D197" s="84"/>
      <c r="E197" s="84"/>
      <c r="F197" s="84"/>
      <c r="G197" s="84"/>
      <c r="H197" s="84"/>
      <c r="I197" s="84"/>
      <c r="J197" s="84"/>
      <c r="K197" s="84"/>
      <c r="L197" s="84"/>
    </row>
    <row r="198" spans="2:12" x14ac:dyDescent="0.25">
      <c r="B198" s="85">
        <v>105</v>
      </c>
      <c r="C198" s="85"/>
      <c r="D198" s="85"/>
      <c r="E198" s="85"/>
      <c r="F198" s="85"/>
      <c r="G198" s="85"/>
      <c r="H198" s="85"/>
      <c r="I198" s="85"/>
      <c r="J198" s="85"/>
      <c r="K198" s="85"/>
      <c r="L198" s="85"/>
    </row>
    <row r="199" spans="2:12" x14ac:dyDescent="0.25">
      <c r="B199" s="84">
        <v>106</v>
      </c>
      <c r="C199" s="84"/>
      <c r="D199" s="84"/>
      <c r="E199" s="84"/>
      <c r="F199" s="84"/>
      <c r="G199" s="84"/>
      <c r="H199" s="84"/>
      <c r="I199" s="84"/>
      <c r="J199" s="84"/>
      <c r="K199" s="84"/>
      <c r="L199" s="84"/>
    </row>
    <row r="200" spans="2:12" x14ac:dyDescent="0.25">
      <c r="B200" s="85">
        <v>107</v>
      </c>
      <c r="C200" s="85"/>
      <c r="D200" s="85"/>
      <c r="E200" s="85"/>
      <c r="F200" s="85"/>
      <c r="G200" s="85"/>
      <c r="H200" s="85"/>
      <c r="I200" s="85"/>
      <c r="J200" s="85"/>
      <c r="K200" s="85"/>
      <c r="L200" s="85"/>
    </row>
    <row r="201" spans="2:12" x14ac:dyDescent="0.25">
      <c r="B201" s="84">
        <v>108</v>
      </c>
      <c r="C201" s="84"/>
      <c r="D201" s="84"/>
      <c r="E201" s="84"/>
      <c r="F201" s="84"/>
      <c r="G201" s="84"/>
      <c r="H201" s="84"/>
      <c r="I201" s="84"/>
      <c r="J201" s="84"/>
      <c r="K201" s="84"/>
      <c r="L201" s="84"/>
    </row>
    <row r="202" spans="2:12" x14ac:dyDescent="0.25">
      <c r="B202" s="85">
        <v>109</v>
      </c>
      <c r="C202" s="85"/>
      <c r="D202" s="85"/>
      <c r="E202" s="85"/>
      <c r="F202" s="85"/>
      <c r="G202" s="85"/>
      <c r="H202" s="85"/>
      <c r="I202" s="85"/>
      <c r="J202" s="85"/>
      <c r="K202" s="85"/>
      <c r="L202" s="85"/>
    </row>
    <row r="203" spans="2:12" x14ac:dyDescent="0.25">
      <c r="B203" s="84">
        <v>110</v>
      </c>
      <c r="C203" s="84"/>
      <c r="D203" s="84"/>
      <c r="E203" s="84"/>
      <c r="F203" s="84"/>
      <c r="G203" s="84"/>
      <c r="H203" s="84"/>
      <c r="I203" s="84"/>
      <c r="J203" s="84"/>
      <c r="K203" s="84"/>
      <c r="L203" s="84"/>
    </row>
    <row r="204" spans="2:12" x14ac:dyDescent="0.25">
      <c r="B204" s="85">
        <v>111</v>
      </c>
      <c r="C204" s="85"/>
      <c r="D204" s="85"/>
      <c r="E204" s="85"/>
      <c r="F204" s="85"/>
      <c r="G204" s="85"/>
      <c r="H204" s="85"/>
      <c r="I204" s="85"/>
      <c r="J204" s="85"/>
      <c r="K204" s="85"/>
      <c r="L204" s="85"/>
    </row>
    <row r="205" spans="2:12" x14ac:dyDescent="0.25">
      <c r="B205" s="84">
        <v>112</v>
      </c>
      <c r="C205" s="84"/>
      <c r="D205" s="84"/>
      <c r="E205" s="84"/>
      <c r="F205" s="84"/>
      <c r="G205" s="84"/>
      <c r="H205" s="84"/>
      <c r="I205" s="84"/>
      <c r="J205" s="84"/>
      <c r="K205" s="84"/>
      <c r="L205" s="84"/>
    </row>
    <row r="206" spans="2:12" x14ac:dyDescent="0.25">
      <c r="B206" s="85">
        <v>113</v>
      </c>
      <c r="C206" s="85"/>
      <c r="D206" s="85"/>
      <c r="E206" s="85"/>
      <c r="F206" s="85"/>
      <c r="G206" s="85"/>
      <c r="H206" s="85"/>
      <c r="I206" s="85"/>
      <c r="J206" s="85"/>
      <c r="K206" s="85"/>
      <c r="L206" s="85"/>
    </row>
    <row r="207" spans="2:12" x14ac:dyDescent="0.25">
      <c r="B207" s="84">
        <v>114</v>
      </c>
      <c r="C207" s="84"/>
      <c r="D207" s="84"/>
      <c r="E207" s="84"/>
      <c r="F207" s="84"/>
      <c r="G207" s="84"/>
      <c r="H207" s="84"/>
      <c r="I207" s="84"/>
      <c r="J207" s="84"/>
      <c r="K207" s="84"/>
      <c r="L207" s="84"/>
    </row>
    <row r="208" spans="2:12" x14ac:dyDescent="0.25">
      <c r="B208" s="85">
        <v>115</v>
      </c>
      <c r="C208" s="85"/>
      <c r="D208" s="85"/>
      <c r="E208" s="85"/>
      <c r="F208" s="85"/>
      <c r="G208" s="85"/>
      <c r="H208" s="85"/>
      <c r="I208" s="85"/>
      <c r="J208" s="85"/>
      <c r="K208" s="85"/>
      <c r="L208" s="85"/>
    </row>
    <row r="209" spans="2:12" x14ac:dyDescent="0.25">
      <c r="B209" s="84">
        <v>116</v>
      </c>
      <c r="C209" s="84"/>
      <c r="D209" s="84"/>
      <c r="E209" s="84"/>
      <c r="F209" s="84"/>
      <c r="G209" s="84"/>
      <c r="H209" s="84"/>
      <c r="I209" s="84"/>
      <c r="J209" s="84"/>
      <c r="K209" s="84"/>
      <c r="L209" s="84"/>
    </row>
    <row r="210" spans="2:12" x14ac:dyDescent="0.25">
      <c r="B210" s="85">
        <v>117</v>
      </c>
      <c r="C210" s="85"/>
      <c r="D210" s="85"/>
      <c r="E210" s="85"/>
      <c r="F210" s="85"/>
      <c r="G210" s="85"/>
      <c r="H210" s="85"/>
      <c r="I210" s="85"/>
      <c r="J210" s="85"/>
      <c r="K210" s="85"/>
      <c r="L210" s="85"/>
    </row>
    <row r="211" spans="2:12" x14ac:dyDescent="0.25">
      <c r="B211" s="84">
        <v>118</v>
      </c>
      <c r="C211" s="84"/>
      <c r="D211" s="84"/>
      <c r="E211" s="84"/>
      <c r="F211" s="84"/>
      <c r="G211" s="84"/>
      <c r="H211" s="84"/>
      <c r="I211" s="84"/>
      <c r="J211" s="84"/>
      <c r="K211" s="84"/>
      <c r="L211" s="84"/>
    </row>
    <row r="212" spans="2:12" x14ac:dyDescent="0.25">
      <c r="B212" s="85">
        <v>119</v>
      </c>
      <c r="C212" s="85"/>
      <c r="D212" s="85"/>
      <c r="E212" s="85"/>
      <c r="F212" s="85"/>
      <c r="G212" s="85"/>
      <c r="H212" s="85"/>
      <c r="I212" s="85"/>
      <c r="J212" s="85"/>
      <c r="K212" s="85"/>
      <c r="L212" s="85"/>
    </row>
    <row r="213" spans="2:12" x14ac:dyDescent="0.25">
      <c r="B213" s="84">
        <v>120</v>
      </c>
      <c r="C213" s="84"/>
      <c r="D213" s="84"/>
      <c r="E213" s="84"/>
      <c r="F213" s="84"/>
      <c r="G213" s="84"/>
      <c r="H213" s="84"/>
      <c r="I213" s="84"/>
      <c r="J213" s="84"/>
      <c r="K213" s="84"/>
      <c r="L213" s="84"/>
    </row>
    <row r="214" spans="2:12" x14ac:dyDescent="0.25">
      <c r="B214" s="85">
        <v>121</v>
      </c>
      <c r="C214" s="85"/>
      <c r="D214" s="85"/>
      <c r="E214" s="85"/>
      <c r="F214" s="85"/>
      <c r="G214" s="85"/>
      <c r="H214" s="85"/>
      <c r="I214" s="85"/>
      <c r="J214" s="85"/>
      <c r="K214" s="85"/>
      <c r="L214" s="85"/>
    </row>
    <row r="215" spans="2:12" x14ac:dyDescent="0.25">
      <c r="B215" s="84">
        <v>122</v>
      </c>
      <c r="C215" s="84"/>
      <c r="D215" s="84"/>
      <c r="E215" s="84"/>
      <c r="F215" s="84"/>
      <c r="G215" s="84"/>
      <c r="H215" s="84"/>
      <c r="I215" s="84"/>
      <c r="J215" s="84"/>
      <c r="K215" s="84"/>
      <c r="L215" s="84"/>
    </row>
    <row r="216" spans="2:12" x14ac:dyDescent="0.25">
      <c r="B216" s="85">
        <v>123</v>
      </c>
      <c r="C216" s="85"/>
      <c r="D216" s="85"/>
      <c r="E216" s="85"/>
      <c r="F216" s="85"/>
      <c r="G216" s="85"/>
      <c r="H216" s="85"/>
      <c r="I216" s="85"/>
      <c r="J216" s="85"/>
      <c r="K216" s="85"/>
      <c r="L216" s="85"/>
    </row>
    <row r="217" spans="2:12" x14ac:dyDescent="0.25">
      <c r="B217" s="84">
        <v>124</v>
      </c>
      <c r="C217" s="84"/>
      <c r="D217" s="84"/>
      <c r="E217" s="84"/>
      <c r="F217" s="84"/>
      <c r="G217" s="84"/>
      <c r="H217" s="84"/>
      <c r="I217" s="84"/>
      <c r="J217" s="84"/>
      <c r="K217" s="84"/>
      <c r="L217" s="84"/>
    </row>
    <row r="218" spans="2:12" x14ac:dyDescent="0.25">
      <c r="B218" s="85">
        <v>125</v>
      </c>
      <c r="C218" s="85"/>
      <c r="D218" s="85"/>
      <c r="E218" s="85"/>
      <c r="F218" s="85"/>
      <c r="G218" s="85"/>
      <c r="H218" s="85"/>
      <c r="I218" s="85"/>
      <c r="J218" s="85"/>
      <c r="K218" s="85"/>
      <c r="L218" s="85"/>
    </row>
    <row r="219" spans="2:12" x14ac:dyDescent="0.25">
      <c r="B219" s="84">
        <v>126</v>
      </c>
      <c r="C219" s="84"/>
      <c r="D219" s="84"/>
      <c r="E219" s="84"/>
      <c r="F219" s="84"/>
      <c r="G219" s="84"/>
      <c r="H219" s="84"/>
      <c r="I219" s="84"/>
      <c r="J219" s="84"/>
      <c r="K219" s="84"/>
      <c r="L219" s="84"/>
    </row>
    <row r="220" spans="2:12" x14ac:dyDescent="0.25">
      <c r="B220" s="85">
        <v>127</v>
      </c>
      <c r="C220" s="85"/>
      <c r="D220" s="85"/>
      <c r="E220" s="85"/>
      <c r="F220" s="85"/>
      <c r="G220" s="85"/>
      <c r="H220" s="85"/>
      <c r="I220" s="85"/>
      <c r="J220" s="85"/>
      <c r="K220" s="85"/>
      <c r="L220" s="85"/>
    </row>
    <row r="221" spans="2:12" x14ac:dyDescent="0.25">
      <c r="B221" s="84">
        <v>128</v>
      </c>
      <c r="C221" s="84"/>
      <c r="D221" s="84"/>
      <c r="E221" s="84"/>
      <c r="F221" s="84"/>
      <c r="G221" s="84"/>
      <c r="H221" s="84"/>
      <c r="I221" s="84"/>
      <c r="J221" s="84"/>
      <c r="K221" s="84"/>
      <c r="L221" s="84"/>
    </row>
    <row r="222" spans="2:12" x14ac:dyDescent="0.25">
      <c r="B222" s="85">
        <v>129</v>
      </c>
      <c r="C222" s="85"/>
      <c r="D222" s="85"/>
      <c r="E222" s="85"/>
      <c r="F222" s="85"/>
      <c r="G222" s="85"/>
      <c r="H222" s="85"/>
      <c r="I222" s="85"/>
      <c r="J222" s="85"/>
      <c r="K222" s="85"/>
      <c r="L222" s="85"/>
    </row>
    <row r="223" spans="2:12" x14ac:dyDescent="0.25">
      <c r="B223" s="84">
        <v>130</v>
      </c>
      <c r="C223" s="84"/>
      <c r="D223" s="84"/>
      <c r="E223" s="84"/>
      <c r="F223" s="84"/>
      <c r="G223" s="84"/>
      <c r="H223" s="84"/>
      <c r="I223" s="84"/>
      <c r="J223" s="84"/>
      <c r="K223" s="84"/>
      <c r="L223" s="84"/>
    </row>
    <row r="224" spans="2:12" x14ac:dyDescent="0.25">
      <c r="B224" s="85">
        <v>131</v>
      </c>
      <c r="C224" s="85"/>
      <c r="D224" s="85"/>
      <c r="E224" s="85"/>
      <c r="F224" s="85"/>
      <c r="G224" s="85"/>
      <c r="H224" s="85"/>
      <c r="I224" s="85"/>
      <c r="J224" s="85"/>
      <c r="K224" s="85"/>
      <c r="L224" s="85"/>
    </row>
    <row r="225" spans="2:12" x14ac:dyDescent="0.25">
      <c r="B225" s="84">
        <v>132</v>
      </c>
      <c r="C225" s="84"/>
      <c r="D225" s="84"/>
      <c r="E225" s="84"/>
      <c r="F225" s="84"/>
      <c r="G225" s="84"/>
      <c r="H225" s="84"/>
      <c r="I225" s="84"/>
      <c r="J225" s="84"/>
      <c r="K225" s="84"/>
      <c r="L225" s="84"/>
    </row>
    <row r="226" spans="2:12" x14ac:dyDescent="0.25">
      <c r="B226" s="85">
        <v>133</v>
      </c>
      <c r="C226" s="85"/>
      <c r="D226" s="85"/>
      <c r="E226" s="85"/>
      <c r="F226" s="85"/>
      <c r="G226" s="85"/>
      <c r="H226" s="85"/>
      <c r="I226" s="85"/>
      <c r="J226" s="85"/>
      <c r="K226" s="85"/>
      <c r="L226" s="85"/>
    </row>
    <row r="227" spans="2:12" x14ac:dyDescent="0.25">
      <c r="B227" s="84">
        <v>134</v>
      </c>
      <c r="C227" s="84"/>
      <c r="D227" s="84"/>
      <c r="E227" s="84"/>
      <c r="F227" s="84"/>
      <c r="G227" s="84"/>
      <c r="H227" s="84"/>
      <c r="I227" s="84"/>
      <c r="J227" s="84"/>
      <c r="K227" s="84"/>
      <c r="L227" s="84"/>
    </row>
    <row r="228" spans="2:12" x14ac:dyDescent="0.25">
      <c r="B228" s="85">
        <v>135</v>
      </c>
      <c r="C228" s="85"/>
      <c r="D228" s="85"/>
      <c r="E228" s="85"/>
      <c r="F228" s="85"/>
      <c r="G228" s="85"/>
      <c r="H228" s="85"/>
      <c r="I228" s="85"/>
      <c r="J228" s="85"/>
      <c r="K228" s="85"/>
      <c r="L228" s="85"/>
    </row>
    <row r="229" spans="2:12" x14ac:dyDescent="0.25">
      <c r="B229" s="84">
        <v>136</v>
      </c>
      <c r="C229" s="84"/>
      <c r="D229" s="84"/>
      <c r="E229" s="84"/>
      <c r="F229" s="84"/>
      <c r="G229" s="84"/>
      <c r="H229" s="84"/>
      <c r="I229" s="84"/>
      <c r="J229" s="84"/>
      <c r="K229" s="84"/>
      <c r="L229" s="84"/>
    </row>
    <row r="230" spans="2:12" x14ac:dyDescent="0.25">
      <c r="B230" s="85">
        <v>137</v>
      </c>
      <c r="C230" s="85"/>
      <c r="D230" s="85"/>
      <c r="E230" s="85"/>
      <c r="F230" s="85"/>
      <c r="G230" s="85"/>
      <c r="H230" s="85"/>
      <c r="I230" s="85"/>
      <c r="J230" s="85"/>
      <c r="K230" s="85"/>
      <c r="L230" s="85"/>
    </row>
    <row r="231" spans="2:12" x14ac:dyDescent="0.25">
      <c r="B231" s="84">
        <v>138</v>
      </c>
      <c r="C231" s="84"/>
      <c r="D231" s="84"/>
      <c r="E231" s="84"/>
      <c r="F231" s="84"/>
      <c r="G231" s="84"/>
      <c r="H231" s="84"/>
      <c r="I231" s="84"/>
      <c r="J231" s="84"/>
      <c r="K231" s="84"/>
      <c r="L231" s="84"/>
    </row>
    <row r="232" spans="2:12" x14ac:dyDescent="0.25">
      <c r="B232" s="85">
        <v>139</v>
      </c>
      <c r="C232" s="85"/>
      <c r="D232" s="85"/>
      <c r="E232" s="85"/>
      <c r="F232" s="85"/>
      <c r="G232" s="85"/>
      <c r="H232" s="85"/>
      <c r="I232" s="85"/>
      <c r="J232" s="85"/>
      <c r="K232" s="85"/>
      <c r="L232" s="85"/>
    </row>
    <row r="233" spans="2:12" x14ac:dyDescent="0.25">
      <c r="B233" s="84">
        <v>140</v>
      </c>
      <c r="C233" s="84"/>
      <c r="D233" s="84"/>
      <c r="E233" s="84"/>
      <c r="F233" s="84"/>
      <c r="G233" s="84"/>
      <c r="H233" s="84"/>
      <c r="I233" s="84"/>
      <c r="J233" s="84"/>
      <c r="K233" s="84"/>
      <c r="L233" s="84"/>
    </row>
    <row r="234" spans="2:12" x14ac:dyDescent="0.25">
      <c r="B234" s="85">
        <v>141</v>
      </c>
      <c r="C234" s="85"/>
      <c r="D234" s="85"/>
      <c r="E234" s="85"/>
      <c r="F234" s="85"/>
      <c r="G234" s="85"/>
      <c r="H234" s="85"/>
      <c r="I234" s="85"/>
      <c r="J234" s="85"/>
      <c r="K234" s="85"/>
      <c r="L234" s="85"/>
    </row>
    <row r="235" spans="2:12" x14ac:dyDescent="0.25">
      <c r="B235" s="84">
        <v>142</v>
      </c>
      <c r="C235" s="84"/>
      <c r="D235" s="84"/>
      <c r="E235" s="84"/>
      <c r="F235" s="84"/>
      <c r="G235" s="84"/>
      <c r="H235" s="84"/>
      <c r="I235" s="84"/>
      <c r="J235" s="84"/>
      <c r="K235" s="84"/>
      <c r="L235" s="84"/>
    </row>
    <row r="236" spans="2:12" x14ac:dyDescent="0.25">
      <c r="B236" s="85">
        <v>143</v>
      </c>
      <c r="C236" s="85"/>
      <c r="D236" s="85"/>
      <c r="E236" s="85"/>
      <c r="F236" s="85"/>
      <c r="G236" s="85"/>
      <c r="H236" s="85"/>
      <c r="I236" s="85"/>
      <c r="J236" s="85"/>
      <c r="K236" s="85"/>
      <c r="L236" s="85"/>
    </row>
    <row r="237" spans="2:12" x14ac:dyDescent="0.25">
      <c r="B237" s="84">
        <v>144</v>
      </c>
      <c r="C237" s="84"/>
      <c r="D237" s="84"/>
      <c r="E237" s="84"/>
      <c r="F237" s="84"/>
      <c r="G237" s="84"/>
      <c r="H237" s="84"/>
      <c r="I237" s="84"/>
      <c r="J237" s="84"/>
      <c r="K237" s="84"/>
      <c r="L237" s="84"/>
    </row>
    <row r="238" spans="2:12" x14ac:dyDescent="0.25">
      <c r="B238" s="85">
        <v>145</v>
      </c>
      <c r="C238" s="85"/>
      <c r="D238" s="85"/>
      <c r="E238" s="85"/>
      <c r="F238" s="85"/>
      <c r="G238" s="85"/>
      <c r="H238" s="85"/>
      <c r="I238" s="85"/>
      <c r="J238" s="85"/>
      <c r="K238" s="85"/>
      <c r="L238" s="85"/>
    </row>
    <row r="239" spans="2:12" x14ac:dyDescent="0.25">
      <c r="B239" s="84">
        <v>146</v>
      </c>
      <c r="C239" s="84"/>
      <c r="D239" s="84"/>
      <c r="E239" s="84"/>
      <c r="F239" s="84"/>
      <c r="G239" s="84"/>
      <c r="H239" s="84"/>
      <c r="I239" s="84"/>
      <c r="J239" s="84"/>
      <c r="K239" s="84"/>
      <c r="L239" s="84"/>
    </row>
    <row r="240" spans="2:12" x14ac:dyDescent="0.25">
      <c r="B240" s="85">
        <v>147</v>
      </c>
      <c r="C240" s="85"/>
      <c r="D240" s="85"/>
      <c r="E240" s="85"/>
      <c r="F240" s="85"/>
      <c r="G240" s="85"/>
      <c r="H240" s="85"/>
      <c r="I240" s="85"/>
      <c r="J240" s="85"/>
      <c r="K240" s="85"/>
      <c r="L240" s="85"/>
    </row>
    <row r="241" spans="2:12" x14ac:dyDescent="0.25">
      <c r="B241" s="84">
        <v>148</v>
      </c>
      <c r="C241" s="84"/>
      <c r="D241" s="84"/>
      <c r="E241" s="84"/>
      <c r="F241" s="84"/>
      <c r="G241" s="84"/>
      <c r="H241" s="84"/>
      <c r="I241" s="84"/>
      <c r="J241" s="84"/>
      <c r="K241" s="84"/>
      <c r="L241" s="84"/>
    </row>
    <row r="242" spans="2:12" x14ac:dyDescent="0.25">
      <c r="B242" s="85">
        <v>149</v>
      </c>
      <c r="C242" s="85"/>
      <c r="D242" s="85"/>
      <c r="E242" s="85"/>
      <c r="F242" s="85"/>
      <c r="G242" s="85"/>
      <c r="H242" s="85"/>
      <c r="I242" s="85"/>
      <c r="J242" s="85"/>
      <c r="K242" s="85"/>
      <c r="L242" s="85"/>
    </row>
    <row r="243" spans="2:12" x14ac:dyDescent="0.25">
      <c r="B243" s="84">
        <v>150</v>
      </c>
      <c r="C243" s="84"/>
      <c r="D243" s="84"/>
      <c r="E243" s="84"/>
      <c r="F243" s="84"/>
      <c r="G243" s="84"/>
      <c r="H243" s="84"/>
      <c r="I243" s="84"/>
      <c r="J243" s="84"/>
      <c r="K243" s="84"/>
      <c r="L243" s="84"/>
    </row>
    <row r="244" spans="2:12" x14ac:dyDescent="0.25">
      <c r="B244" s="85">
        <v>151</v>
      </c>
      <c r="C244" s="85"/>
      <c r="D244" s="85"/>
      <c r="E244" s="85"/>
      <c r="F244" s="85"/>
      <c r="G244" s="85"/>
      <c r="H244" s="85"/>
      <c r="I244" s="85"/>
      <c r="J244" s="85"/>
      <c r="K244" s="85"/>
      <c r="L244" s="85"/>
    </row>
    <row r="245" spans="2:12" x14ac:dyDescent="0.25">
      <c r="B245" s="84">
        <v>152</v>
      </c>
      <c r="C245" s="84"/>
      <c r="D245" s="84"/>
      <c r="E245" s="84"/>
      <c r="F245" s="84"/>
      <c r="G245" s="84"/>
      <c r="H245" s="84"/>
      <c r="I245" s="84"/>
      <c r="J245" s="84"/>
      <c r="K245" s="84"/>
      <c r="L245" s="84"/>
    </row>
    <row r="246" spans="2:12" x14ac:dyDescent="0.25">
      <c r="B246" s="85">
        <v>153</v>
      </c>
      <c r="C246" s="85"/>
      <c r="D246" s="85"/>
      <c r="E246" s="85"/>
      <c r="F246" s="85"/>
      <c r="G246" s="85"/>
      <c r="H246" s="85"/>
      <c r="I246" s="85"/>
      <c r="J246" s="85"/>
      <c r="K246" s="85"/>
      <c r="L246" s="85"/>
    </row>
    <row r="247" spans="2:12" x14ac:dyDescent="0.25">
      <c r="B247" s="84">
        <v>154</v>
      </c>
      <c r="C247" s="84"/>
      <c r="D247" s="84"/>
      <c r="E247" s="84"/>
      <c r="F247" s="84"/>
      <c r="G247" s="84"/>
      <c r="H247" s="84"/>
      <c r="I247" s="84"/>
      <c r="J247" s="84"/>
      <c r="K247" s="84"/>
      <c r="L247" s="84"/>
    </row>
    <row r="248" spans="2:12" x14ac:dyDescent="0.25">
      <c r="B248" s="85">
        <v>155</v>
      </c>
      <c r="C248" s="85"/>
      <c r="D248" s="85"/>
      <c r="E248" s="85"/>
      <c r="F248" s="85"/>
      <c r="G248" s="85"/>
      <c r="H248" s="85"/>
      <c r="I248" s="85"/>
      <c r="J248" s="85"/>
      <c r="K248" s="85"/>
      <c r="L248" s="85"/>
    </row>
    <row r="249" spans="2:12" x14ac:dyDescent="0.25">
      <c r="B249" s="84">
        <v>156</v>
      </c>
      <c r="C249" s="84"/>
      <c r="D249" s="84"/>
      <c r="E249" s="84"/>
      <c r="F249" s="84"/>
      <c r="G249" s="84"/>
      <c r="H249" s="84"/>
      <c r="I249" s="84"/>
      <c r="J249" s="84"/>
      <c r="K249" s="84"/>
      <c r="L249" s="84"/>
    </row>
    <row r="250" spans="2:12" x14ac:dyDescent="0.25">
      <c r="B250" s="85">
        <v>157</v>
      </c>
      <c r="C250" s="85"/>
      <c r="D250" s="85"/>
      <c r="E250" s="85"/>
      <c r="F250" s="85"/>
      <c r="G250" s="85"/>
      <c r="H250" s="85"/>
      <c r="I250" s="85"/>
      <c r="J250" s="85"/>
      <c r="K250" s="85"/>
      <c r="L250" s="85"/>
    </row>
    <row r="251" spans="2:12" x14ac:dyDescent="0.25">
      <c r="B251" s="84">
        <v>158</v>
      </c>
      <c r="C251" s="84"/>
      <c r="D251" s="84"/>
      <c r="E251" s="84"/>
      <c r="F251" s="84"/>
      <c r="G251" s="84"/>
      <c r="H251" s="84"/>
      <c r="I251" s="84"/>
      <c r="J251" s="84"/>
      <c r="K251" s="84"/>
      <c r="L251" s="84"/>
    </row>
    <row r="252" spans="2:12" x14ac:dyDescent="0.25">
      <c r="B252" s="85">
        <v>159</v>
      </c>
      <c r="C252" s="85"/>
      <c r="D252" s="85"/>
      <c r="E252" s="85"/>
      <c r="F252" s="85"/>
      <c r="G252" s="85"/>
      <c r="H252" s="85"/>
      <c r="I252" s="85"/>
      <c r="J252" s="85"/>
      <c r="K252" s="85"/>
      <c r="L252" s="85"/>
    </row>
    <row r="253" spans="2:12" x14ac:dyDescent="0.25">
      <c r="B253" s="84">
        <v>160</v>
      </c>
      <c r="C253" s="84"/>
      <c r="D253" s="84"/>
      <c r="E253" s="84"/>
      <c r="F253" s="84"/>
      <c r="G253" s="84"/>
      <c r="H253" s="84"/>
      <c r="I253" s="84"/>
      <c r="J253" s="84"/>
      <c r="K253" s="84"/>
      <c r="L253" s="84"/>
    </row>
    <row r="254" spans="2:12" x14ac:dyDescent="0.25">
      <c r="B254" s="85">
        <v>161</v>
      </c>
      <c r="C254" s="85"/>
      <c r="D254" s="85"/>
      <c r="E254" s="85"/>
      <c r="F254" s="85"/>
      <c r="G254" s="85"/>
      <c r="H254" s="85"/>
      <c r="I254" s="85"/>
      <c r="J254" s="85"/>
      <c r="K254" s="85"/>
      <c r="L254" s="85"/>
    </row>
    <row r="255" spans="2:12" x14ac:dyDescent="0.25">
      <c r="B255" s="84">
        <v>162</v>
      </c>
      <c r="C255" s="84"/>
      <c r="D255" s="84"/>
      <c r="E255" s="84"/>
      <c r="F255" s="84"/>
      <c r="G255" s="84"/>
      <c r="H255" s="84"/>
      <c r="I255" s="84"/>
      <c r="J255" s="84"/>
      <c r="K255" s="84"/>
      <c r="L255" s="84"/>
    </row>
    <row r="256" spans="2:12" x14ac:dyDescent="0.25">
      <c r="B256" s="85">
        <v>163</v>
      </c>
      <c r="C256" s="85"/>
      <c r="D256" s="85"/>
      <c r="E256" s="85"/>
      <c r="F256" s="85"/>
      <c r="G256" s="85"/>
      <c r="H256" s="85"/>
      <c r="I256" s="85"/>
      <c r="J256" s="85"/>
      <c r="K256" s="85"/>
      <c r="L256" s="85"/>
    </row>
    <row r="257" spans="2:12" x14ac:dyDescent="0.25">
      <c r="B257" s="84">
        <v>164</v>
      </c>
      <c r="C257" s="84"/>
      <c r="D257" s="84"/>
      <c r="E257" s="84"/>
      <c r="F257" s="84"/>
      <c r="G257" s="84"/>
      <c r="H257" s="84"/>
      <c r="I257" s="84"/>
      <c r="J257" s="84"/>
      <c r="K257" s="84"/>
      <c r="L257" s="84"/>
    </row>
    <row r="258" spans="2:12" x14ac:dyDescent="0.25">
      <c r="B258" s="85">
        <v>165</v>
      </c>
      <c r="C258" s="85"/>
      <c r="D258" s="85"/>
      <c r="E258" s="85"/>
      <c r="F258" s="85"/>
      <c r="G258" s="85"/>
      <c r="H258" s="85"/>
      <c r="I258" s="85"/>
      <c r="J258" s="85"/>
      <c r="K258" s="85"/>
      <c r="L258" s="85"/>
    </row>
    <row r="259" spans="2:12" x14ac:dyDescent="0.25">
      <c r="B259" s="84">
        <v>166</v>
      </c>
      <c r="C259" s="84"/>
      <c r="D259" s="84"/>
      <c r="E259" s="84"/>
      <c r="F259" s="84"/>
      <c r="G259" s="84"/>
      <c r="H259" s="84"/>
      <c r="I259" s="84"/>
      <c r="J259" s="84"/>
      <c r="K259" s="84"/>
      <c r="L259" s="84"/>
    </row>
    <row r="260" spans="2:12" x14ac:dyDescent="0.25">
      <c r="B260" s="85">
        <v>167</v>
      </c>
      <c r="C260" s="85"/>
      <c r="D260" s="85"/>
      <c r="E260" s="85"/>
      <c r="F260" s="85"/>
      <c r="G260" s="85"/>
      <c r="H260" s="85"/>
      <c r="I260" s="85"/>
      <c r="J260" s="85"/>
      <c r="K260" s="85"/>
      <c r="L260" s="85"/>
    </row>
    <row r="261" spans="2:12" x14ac:dyDescent="0.25">
      <c r="B261" s="84">
        <v>168</v>
      </c>
      <c r="C261" s="84"/>
      <c r="D261" s="84"/>
      <c r="E261" s="84"/>
      <c r="F261" s="84"/>
      <c r="G261" s="84"/>
      <c r="H261" s="84"/>
      <c r="I261" s="84"/>
      <c r="J261" s="84"/>
      <c r="K261" s="84"/>
      <c r="L261" s="84"/>
    </row>
    <row r="262" spans="2:12" x14ac:dyDescent="0.25">
      <c r="B262" s="85">
        <v>169</v>
      </c>
      <c r="C262" s="85"/>
      <c r="D262" s="85"/>
      <c r="E262" s="85"/>
      <c r="F262" s="85"/>
      <c r="G262" s="85"/>
      <c r="H262" s="85"/>
      <c r="I262" s="85"/>
      <c r="J262" s="85"/>
      <c r="K262" s="85"/>
      <c r="L262" s="85"/>
    </row>
    <row r="263" spans="2:12" x14ac:dyDescent="0.25">
      <c r="B263" s="84">
        <v>170</v>
      </c>
      <c r="C263" s="84"/>
      <c r="D263" s="84"/>
      <c r="E263" s="84"/>
      <c r="F263" s="84"/>
      <c r="G263" s="84"/>
      <c r="H263" s="84"/>
      <c r="I263" s="84"/>
      <c r="J263" s="84"/>
      <c r="K263" s="84"/>
      <c r="L263" s="84"/>
    </row>
    <row r="264" spans="2:12" x14ac:dyDescent="0.25">
      <c r="B264" s="85">
        <v>171</v>
      </c>
      <c r="C264" s="85"/>
      <c r="D264" s="85"/>
      <c r="E264" s="85"/>
      <c r="F264" s="85"/>
      <c r="G264" s="85"/>
      <c r="H264" s="85"/>
      <c r="I264" s="85"/>
      <c r="J264" s="85"/>
      <c r="K264" s="85"/>
      <c r="L264" s="85"/>
    </row>
    <row r="265" spans="2:12" x14ac:dyDescent="0.25">
      <c r="B265" s="84">
        <v>172</v>
      </c>
      <c r="C265" s="84"/>
      <c r="D265" s="84"/>
      <c r="E265" s="84"/>
      <c r="F265" s="84"/>
      <c r="G265" s="84"/>
      <c r="H265" s="84"/>
      <c r="I265" s="84"/>
      <c r="J265" s="84"/>
      <c r="K265" s="84"/>
      <c r="L265" s="84"/>
    </row>
    <row r="266" spans="2:12" x14ac:dyDescent="0.25">
      <c r="B266" s="85">
        <v>173</v>
      </c>
      <c r="C266" s="85"/>
      <c r="D266" s="85"/>
      <c r="E266" s="85"/>
      <c r="F266" s="85"/>
      <c r="G266" s="85"/>
      <c r="H266" s="85"/>
      <c r="I266" s="85"/>
      <c r="J266" s="85"/>
      <c r="K266" s="85"/>
      <c r="L266" s="85"/>
    </row>
    <row r="267" spans="2:12" x14ac:dyDescent="0.25">
      <c r="B267" s="84">
        <v>174</v>
      </c>
      <c r="C267" s="84"/>
      <c r="D267" s="84"/>
      <c r="E267" s="84"/>
      <c r="F267" s="84"/>
      <c r="G267" s="84"/>
      <c r="H267" s="84"/>
      <c r="I267" s="84"/>
      <c r="J267" s="84"/>
      <c r="K267" s="84"/>
      <c r="L267" s="84"/>
    </row>
    <row r="268" spans="2:12" x14ac:dyDescent="0.25">
      <c r="B268" s="85">
        <v>175</v>
      </c>
      <c r="C268" s="85"/>
      <c r="D268" s="85"/>
      <c r="E268" s="85"/>
      <c r="F268" s="85"/>
      <c r="G268" s="85"/>
      <c r="H268" s="85"/>
      <c r="I268" s="85"/>
      <c r="J268" s="85"/>
      <c r="K268" s="85"/>
      <c r="L268" s="85"/>
    </row>
    <row r="269" spans="2:12" x14ac:dyDescent="0.25">
      <c r="B269" s="84">
        <v>176</v>
      </c>
      <c r="C269" s="84"/>
      <c r="D269" s="84"/>
      <c r="E269" s="84"/>
      <c r="F269" s="84"/>
      <c r="G269" s="84"/>
      <c r="H269" s="84"/>
      <c r="I269" s="84"/>
      <c r="J269" s="84"/>
      <c r="K269" s="84"/>
      <c r="L269" s="84"/>
    </row>
    <row r="270" spans="2:12" x14ac:dyDescent="0.25">
      <c r="B270" s="85">
        <v>177</v>
      </c>
      <c r="C270" s="85"/>
      <c r="D270" s="85"/>
      <c r="E270" s="85"/>
      <c r="F270" s="85"/>
      <c r="G270" s="85"/>
      <c r="H270" s="85"/>
      <c r="I270" s="85"/>
      <c r="J270" s="85"/>
      <c r="K270" s="85"/>
      <c r="L270" s="85"/>
    </row>
    <row r="271" spans="2:12" x14ac:dyDescent="0.25">
      <c r="B271" s="84">
        <v>178</v>
      </c>
      <c r="C271" s="84"/>
      <c r="D271" s="84"/>
      <c r="E271" s="84"/>
      <c r="F271" s="84"/>
      <c r="G271" s="84"/>
      <c r="H271" s="84"/>
      <c r="I271" s="84"/>
      <c r="J271" s="84"/>
      <c r="K271" s="84"/>
      <c r="L271" s="84"/>
    </row>
    <row r="272" spans="2:12" x14ac:dyDescent="0.25">
      <c r="B272" s="85">
        <v>179</v>
      </c>
      <c r="C272" s="85"/>
      <c r="D272" s="85"/>
      <c r="E272" s="85"/>
      <c r="F272" s="85"/>
      <c r="G272" s="85"/>
      <c r="H272" s="85"/>
      <c r="I272" s="85"/>
      <c r="J272" s="85"/>
      <c r="K272" s="85"/>
      <c r="L272" s="85"/>
    </row>
    <row r="273" spans="2:12" x14ac:dyDescent="0.25">
      <c r="B273" s="84">
        <v>180</v>
      </c>
      <c r="C273" s="84"/>
      <c r="D273" s="84"/>
      <c r="E273" s="84"/>
      <c r="F273" s="84"/>
      <c r="G273" s="84"/>
      <c r="H273" s="84"/>
      <c r="I273" s="84"/>
      <c r="J273" s="84"/>
      <c r="K273" s="84"/>
      <c r="L273" s="84"/>
    </row>
    <row r="274" spans="2:12" x14ac:dyDescent="0.25">
      <c r="B274" s="85">
        <v>181</v>
      </c>
      <c r="C274" s="85"/>
      <c r="D274" s="85"/>
      <c r="E274" s="85"/>
      <c r="F274" s="85"/>
      <c r="G274" s="85"/>
      <c r="H274" s="85"/>
      <c r="I274" s="85"/>
      <c r="J274" s="85"/>
      <c r="K274" s="85"/>
      <c r="L274" s="85"/>
    </row>
    <row r="275" spans="2:12" x14ac:dyDescent="0.25">
      <c r="B275" s="84">
        <v>182</v>
      </c>
      <c r="C275" s="84"/>
      <c r="D275" s="84"/>
      <c r="E275" s="84"/>
      <c r="F275" s="84"/>
      <c r="G275" s="84"/>
      <c r="H275" s="84"/>
      <c r="I275" s="84"/>
      <c r="J275" s="84"/>
      <c r="K275" s="84"/>
      <c r="L275" s="84"/>
    </row>
    <row r="276" spans="2:12" x14ac:dyDescent="0.25">
      <c r="B276" s="85">
        <v>183</v>
      </c>
      <c r="C276" s="85"/>
      <c r="D276" s="85"/>
      <c r="E276" s="85"/>
      <c r="F276" s="85"/>
      <c r="G276" s="85"/>
      <c r="H276" s="85"/>
      <c r="I276" s="85"/>
      <c r="J276" s="85"/>
      <c r="K276" s="85"/>
      <c r="L276" s="85"/>
    </row>
    <row r="277" spans="2:12" x14ac:dyDescent="0.25">
      <c r="B277" s="84">
        <v>184</v>
      </c>
      <c r="C277" s="84"/>
      <c r="D277" s="84"/>
      <c r="E277" s="84"/>
      <c r="F277" s="84"/>
      <c r="G277" s="84"/>
      <c r="H277" s="84"/>
      <c r="I277" s="84"/>
      <c r="J277" s="84"/>
      <c r="K277" s="84"/>
      <c r="L277" s="84"/>
    </row>
    <row r="278" spans="2:12" x14ac:dyDescent="0.25">
      <c r="B278" s="85">
        <v>185</v>
      </c>
      <c r="C278" s="85"/>
      <c r="D278" s="85"/>
      <c r="E278" s="85"/>
      <c r="F278" s="85"/>
      <c r="G278" s="85"/>
      <c r="H278" s="85"/>
      <c r="I278" s="85"/>
      <c r="J278" s="85"/>
      <c r="K278" s="85"/>
      <c r="L278" s="85"/>
    </row>
    <row r="279" spans="2:12" x14ac:dyDescent="0.25">
      <c r="B279" s="84">
        <v>186</v>
      </c>
      <c r="C279" s="84"/>
      <c r="D279" s="84"/>
      <c r="E279" s="84"/>
      <c r="F279" s="84"/>
      <c r="G279" s="84"/>
      <c r="H279" s="84"/>
      <c r="I279" s="84"/>
      <c r="J279" s="84"/>
      <c r="K279" s="84"/>
      <c r="L279" s="84"/>
    </row>
    <row r="280" spans="2:12" x14ac:dyDescent="0.25">
      <c r="B280" s="85">
        <v>187</v>
      </c>
      <c r="C280" s="85"/>
      <c r="D280" s="85"/>
      <c r="E280" s="85"/>
      <c r="F280" s="85"/>
      <c r="G280" s="85"/>
      <c r="H280" s="85"/>
      <c r="I280" s="85"/>
      <c r="J280" s="85"/>
      <c r="K280" s="85"/>
      <c r="L280" s="85"/>
    </row>
    <row r="281" spans="2:12" x14ac:dyDescent="0.25">
      <c r="B281" s="84">
        <v>188</v>
      </c>
      <c r="C281" s="84"/>
      <c r="D281" s="84"/>
      <c r="E281" s="84"/>
      <c r="F281" s="84"/>
      <c r="G281" s="84"/>
      <c r="H281" s="84"/>
      <c r="I281" s="84"/>
      <c r="J281" s="84"/>
      <c r="K281" s="84"/>
      <c r="L281" s="84"/>
    </row>
    <row r="282" spans="2:12" x14ac:dyDescent="0.25">
      <c r="B282" s="85">
        <v>189</v>
      </c>
      <c r="C282" s="85"/>
      <c r="D282" s="85"/>
      <c r="E282" s="85"/>
      <c r="F282" s="85"/>
      <c r="G282" s="85"/>
      <c r="H282" s="85"/>
      <c r="I282" s="85"/>
      <c r="J282" s="85"/>
      <c r="K282" s="85"/>
      <c r="L282" s="85"/>
    </row>
    <row r="283" spans="2:12" x14ac:dyDescent="0.25">
      <c r="B283" s="84">
        <v>190</v>
      </c>
      <c r="C283" s="84"/>
      <c r="D283" s="84"/>
      <c r="E283" s="84"/>
      <c r="F283" s="84"/>
      <c r="G283" s="84"/>
      <c r="H283" s="84"/>
      <c r="I283" s="84"/>
      <c r="J283" s="84"/>
      <c r="K283" s="84"/>
      <c r="L283" s="84"/>
    </row>
    <row r="284" spans="2:12" x14ac:dyDescent="0.25">
      <c r="B284" s="85">
        <v>191</v>
      </c>
      <c r="C284" s="85"/>
      <c r="D284" s="85"/>
      <c r="E284" s="85"/>
      <c r="F284" s="85"/>
      <c r="G284" s="85"/>
      <c r="H284" s="85"/>
      <c r="I284" s="85"/>
      <c r="J284" s="85"/>
      <c r="K284" s="85"/>
      <c r="L284" s="85"/>
    </row>
    <row r="285" spans="2:12" x14ac:dyDescent="0.25">
      <c r="B285" s="84">
        <v>192</v>
      </c>
      <c r="C285" s="84"/>
      <c r="D285" s="84"/>
      <c r="E285" s="84"/>
      <c r="F285" s="84"/>
      <c r="G285" s="84"/>
      <c r="H285" s="84"/>
      <c r="I285" s="84"/>
      <c r="J285" s="84"/>
      <c r="K285" s="84"/>
      <c r="L285" s="84"/>
    </row>
    <row r="286" spans="2:12" x14ac:dyDescent="0.25">
      <c r="B286" s="85">
        <v>193</v>
      </c>
      <c r="C286" s="85"/>
      <c r="D286" s="85"/>
      <c r="E286" s="85"/>
      <c r="F286" s="85"/>
      <c r="G286" s="85"/>
      <c r="H286" s="85"/>
      <c r="I286" s="85"/>
      <c r="J286" s="85"/>
      <c r="K286" s="85"/>
      <c r="L286" s="85"/>
    </row>
    <row r="287" spans="2:12" x14ac:dyDescent="0.25">
      <c r="B287" s="84">
        <v>194</v>
      </c>
      <c r="C287" s="84"/>
      <c r="D287" s="84"/>
      <c r="E287" s="84"/>
      <c r="F287" s="84"/>
      <c r="G287" s="84"/>
      <c r="H287" s="84"/>
      <c r="I287" s="84"/>
      <c r="J287" s="84"/>
      <c r="K287" s="84"/>
      <c r="L287" s="84"/>
    </row>
    <row r="288" spans="2:12" x14ac:dyDescent="0.25">
      <c r="B288" s="85">
        <v>195</v>
      </c>
      <c r="C288" s="85"/>
      <c r="D288" s="85"/>
      <c r="E288" s="85"/>
      <c r="F288" s="85"/>
      <c r="G288" s="85"/>
      <c r="H288" s="85"/>
      <c r="I288" s="85"/>
      <c r="J288" s="85"/>
      <c r="K288" s="85"/>
      <c r="L288" s="85"/>
    </row>
    <row r="289" spans="2:12" x14ac:dyDescent="0.25">
      <c r="B289" s="84">
        <v>205</v>
      </c>
      <c r="C289" s="84"/>
      <c r="D289" s="84"/>
      <c r="E289" s="84"/>
      <c r="F289" s="84"/>
      <c r="G289" s="84"/>
      <c r="H289" s="84"/>
      <c r="I289" s="84"/>
      <c r="J289" s="84"/>
      <c r="K289" s="84"/>
      <c r="L289" s="84"/>
    </row>
    <row r="290" spans="2:12" x14ac:dyDescent="0.25">
      <c r="B290" s="85">
        <v>215</v>
      </c>
      <c r="C290" s="85"/>
      <c r="D290" s="85"/>
      <c r="E290" s="85"/>
      <c r="F290" s="85"/>
      <c r="G290" s="85"/>
      <c r="H290" s="85"/>
      <c r="I290" s="85"/>
      <c r="J290" s="85"/>
      <c r="K290" s="85"/>
      <c r="L290" s="85"/>
    </row>
    <row r="291" spans="2:12" x14ac:dyDescent="0.25">
      <c r="B291" s="84">
        <v>225</v>
      </c>
      <c r="C291" s="84"/>
      <c r="D291" s="84"/>
      <c r="E291" s="84"/>
      <c r="F291" s="84"/>
      <c r="G291" s="84"/>
      <c r="H291" s="84"/>
      <c r="I291" s="84"/>
      <c r="J291" s="84"/>
      <c r="K291" s="84"/>
      <c r="L291" s="84"/>
    </row>
    <row r="292" spans="2:12" x14ac:dyDescent="0.25">
      <c r="B292" s="85">
        <v>235</v>
      </c>
      <c r="C292" s="85"/>
      <c r="D292" s="85"/>
      <c r="E292" s="85"/>
      <c r="F292" s="85"/>
      <c r="G292" s="85"/>
      <c r="H292" s="85"/>
      <c r="I292" s="85"/>
      <c r="J292" s="85"/>
      <c r="K292" s="85"/>
      <c r="L292" s="85"/>
    </row>
    <row r="293" spans="2:12" x14ac:dyDescent="0.25">
      <c r="B293" s="84">
        <v>245</v>
      </c>
      <c r="C293" s="84"/>
      <c r="D293" s="84"/>
      <c r="E293" s="84"/>
      <c r="F293" s="84"/>
      <c r="G293" s="84"/>
      <c r="H293" s="84"/>
      <c r="I293" s="84"/>
      <c r="J293" s="84"/>
      <c r="K293" s="84"/>
      <c r="L293" s="84"/>
    </row>
    <row r="294" spans="2:12" x14ac:dyDescent="0.25">
      <c r="B294" s="85">
        <v>255</v>
      </c>
      <c r="C294" s="85"/>
      <c r="D294" s="85"/>
      <c r="E294" s="85"/>
      <c r="F294" s="85"/>
      <c r="G294" s="85"/>
      <c r="H294" s="85"/>
      <c r="I294" s="85"/>
      <c r="J294" s="85"/>
      <c r="K294" s="85"/>
      <c r="L294" s="85"/>
    </row>
    <row r="295" spans="2:12" x14ac:dyDescent="0.25">
      <c r="B295" s="84">
        <v>265</v>
      </c>
      <c r="C295" s="84"/>
      <c r="D295" s="84"/>
      <c r="E295" s="84"/>
      <c r="F295" s="84"/>
      <c r="G295" s="84"/>
      <c r="H295" s="84"/>
      <c r="I295" s="84"/>
      <c r="J295" s="84"/>
      <c r="K295" s="84"/>
      <c r="L295" s="84"/>
    </row>
    <row r="296" spans="2:12" x14ac:dyDescent="0.25">
      <c r="B296" s="85">
        <v>275</v>
      </c>
      <c r="C296" s="85"/>
      <c r="D296" s="85"/>
      <c r="E296" s="85"/>
      <c r="F296" s="85"/>
      <c r="G296" s="85"/>
      <c r="H296" s="85"/>
      <c r="I296" s="85"/>
      <c r="J296" s="85"/>
      <c r="K296" s="85"/>
      <c r="L296" s="85"/>
    </row>
    <row r="297" spans="2:12" x14ac:dyDescent="0.25">
      <c r="B297" s="84">
        <v>285</v>
      </c>
      <c r="C297" s="84"/>
      <c r="D297" s="84"/>
      <c r="E297" s="84"/>
      <c r="F297" s="84"/>
      <c r="G297" s="84"/>
      <c r="H297" s="84"/>
      <c r="I297" s="84"/>
      <c r="J297" s="84"/>
      <c r="K297" s="84"/>
      <c r="L297" s="84"/>
    </row>
    <row r="298" spans="2:12" x14ac:dyDescent="0.25">
      <c r="B298" s="85">
        <v>295</v>
      </c>
      <c r="C298" s="85"/>
      <c r="D298" s="85"/>
      <c r="E298" s="85"/>
      <c r="F298" s="85"/>
      <c r="G298" s="85"/>
      <c r="H298" s="85"/>
      <c r="I298" s="85"/>
      <c r="J298" s="85"/>
      <c r="K298" s="85"/>
      <c r="L298" s="85"/>
    </row>
    <row r="299" spans="2:12" x14ac:dyDescent="0.25">
      <c r="B299" s="84">
        <v>305</v>
      </c>
      <c r="C299" s="84"/>
      <c r="D299" s="84"/>
      <c r="E299" s="84"/>
      <c r="F299" s="84"/>
      <c r="G299" s="84"/>
      <c r="H299" s="84"/>
      <c r="I299" s="84"/>
      <c r="J299" s="84"/>
      <c r="K299" s="84"/>
      <c r="L299" s="84"/>
    </row>
    <row r="300" spans="2:12" x14ac:dyDescent="0.25">
      <c r="B300" s="85">
        <v>315</v>
      </c>
      <c r="C300" s="85"/>
      <c r="D300" s="85"/>
      <c r="E300" s="85"/>
      <c r="F300" s="85"/>
      <c r="G300" s="85"/>
      <c r="H300" s="85"/>
      <c r="I300" s="85"/>
      <c r="J300" s="85"/>
      <c r="K300" s="85"/>
      <c r="L300" s="85"/>
    </row>
    <row r="301" spans="2:12" x14ac:dyDescent="0.25">
      <c r="B301" s="84">
        <v>325</v>
      </c>
      <c r="C301" s="84"/>
      <c r="D301" s="84"/>
      <c r="E301" s="84"/>
      <c r="F301" s="84"/>
      <c r="G301" s="84"/>
      <c r="H301" s="84"/>
      <c r="I301" s="84"/>
      <c r="J301" s="84"/>
      <c r="K301" s="84"/>
      <c r="L301" s="84"/>
    </row>
    <row r="302" spans="2:12" x14ac:dyDescent="0.25">
      <c r="B302" s="85">
        <v>335</v>
      </c>
      <c r="C302" s="85"/>
      <c r="D302" s="85"/>
      <c r="E302" s="85"/>
      <c r="F302" s="85"/>
      <c r="G302" s="85"/>
      <c r="H302" s="85"/>
      <c r="I302" s="85"/>
      <c r="J302" s="85"/>
      <c r="K302" s="85"/>
      <c r="L302" s="85"/>
    </row>
    <row r="303" spans="2:12" x14ac:dyDescent="0.25">
      <c r="B303" s="84">
        <v>345</v>
      </c>
      <c r="C303" s="84"/>
      <c r="D303" s="84"/>
      <c r="E303" s="84"/>
      <c r="F303" s="84"/>
      <c r="G303" s="84"/>
      <c r="H303" s="84"/>
      <c r="I303" s="84"/>
      <c r="J303" s="84"/>
      <c r="K303" s="84"/>
      <c r="L303" s="84"/>
    </row>
    <row r="304" spans="2:12" x14ac:dyDescent="0.25">
      <c r="B304" s="85">
        <v>355</v>
      </c>
      <c r="C304" s="85"/>
      <c r="D304" s="85"/>
      <c r="E304" s="85"/>
      <c r="F304" s="85"/>
      <c r="G304" s="85"/>
      <c r="H304" s="85"/>
      <c r="I304" s="85"/>
      <c r="J304" s="85"/>
      <c r="K304" s="85"/>
      <c r="L304" s="85"/>
    </row>
    <row r="305" spans="2:12" x14ac:dyDescent="0.25">
      <c r="B305" s="84">
        <v>365</v>
      </c>
      <c r="C305" s="84"/>
      <c r="D305" s="84"/>
      <c r="E305" s="84"/>
      <c r="F305" s="84"/>
      <c r="G305" s="84"/>
      <c r="H305" s="84"/>
      <c r="I305" s="84"/>
      <c r="J305" s="84"/>
      <c r="K305" s="84"/>
      <c r="L305" s="84"/>
    </row>
    <row r="306" spans="2:12" x14ac:dyDescent="0.25">
      <c r="B306" s="85">
        <v>375</v>
      </c>
      <c r="C306" s="85"/>
      <c r="D306" s="85"/>
      <c r="E306" s="85"/>
      <c r="F306" s="85"/>
      <c r="G306" s="85"/>
      <c r="H306" s="85"/>
      <c r="I306" s="85"/>
      <c r="J306" s="85"/>
      <c r="K306" s="85"/>
      <c r="L306" s="85"/>
    </row>
    <row r="307" spans="2:12" x14ac:dyDescent="0.25">
      <c r="B307" s="84">
        <v>385</v>
      </c>
      <c r="C307" s="84"/>
      <c r="D307" s="84"/>
      <c r="E307" s="84"/>
      <c r="F307" s="84"/>
      <c r="G307" s="84"/>
      <c r="H307" s="84"/>
      <c r="I307" s="84"/>
      <c r="J307" s="84"/>
      <c r="K307" s="84"/>
      <c r="L307" s="84"/>
    </row>
    <row r="308" spans="2:12" x14ac:dyDescent="0.25">
      <c r="B308" s="85">
        <v>395</v>
      </c>
      <c r="C308" s="85"/>
      <c r="D308" s="85"/>
      <c r="E308" s="85"/>
      <c r="F308" s="85"/>
      <c r="G308" s="85"/>
      <c r="H308" s="85"/>
      <c r="I308" s="85"/>
      <c r="J308" s="85"/>
      <c r="K308" s="85"/>
      <c r="L308" s="85"/>
    </row>
    <row r="309" spans="2:12" x14ac:dyDescent="0.25">
      <c r="B309" s="84">
        <v>405</v>
      </c>
      <c r="C309" s="84"/>
      <c r="D309" s="84"/>
      <c r="E309" s="84"/>
      <c r="F309" s="84"/>
      <c r="G309" s="84"/>
      <c r="H309" s="84"/>
      <c r="I309" s="84"/>
      <c r="J309" s="84"/>
      <c r="K309" s="84"/>
      <c r="L309" s="84"/>
    </row>
    <row r="310" spans="2:12" x14ac:dyDescent="0.25">
      <c r="B310" s="85">
        <v>415</v>
      </c>
      <c r="C310" s="85"/>
      <c r="D310" s="85"/>
      <c r="E310" s="85"/>
      <c r="F310" s="85"/>
      <c r="G310" s="85"/>
      <c r="H310" s="85"/>
      <c r="I310" s="85"/>
      <c r="J310" s="85"/>
      <c r="K310" s="85"/>
      <c r="L310" s="85"/>
    </row>
    <row r="311" spans="2:12" x14ac:dyDescent="0.25">
      <c r="B311" s="84">
        <v>425</v>
      </c>
      <c r="C311" s="84"/>
      <c r="D311" s="84"/>
      <c r="E311" s="84"/>
      <c r="F311" s="84"/>
      <c r="G311" s="84"/>
      <c r="H311" s="84"/>
      <c r="I311" s="84"/>
      <c r="J311" s="84"/>
      <c r="K311" s="84"/>
      <c r="L311" s="84"/>
    </row>
    <row r="312" spans="2:12" x14ac:dyDescent="0.25">
      <c r="B312" s="85">
        <v>435</v>
      </c>
      <c r="C312" s="85"/>
      <c r="D312" s="85"/>
      <c r="E312" s="85"/>
      <c r="F312" s="85"/>
      <c r="G312" s="85"/>
      <c r="H312" s="85"/>
      <c r="I312" s="85"/>
      <c r="J312" s="85"/>
      <c r="K312" s="85"/>
      <c r="L312" s="85"/>
    </row>
    <row r="313" spans="2:12" x14ac:dyDescent="0.25">
      <c r="B313" s="84">
        <v>445</v>
      </c>
      <c r="C313" s="84"/>
      <c r="D313" s="84"/>
      <c r="E313" s="84"/>
      <c r="F313" s="84"/>
      <c r="G313" s="84"/>
      <c r="H313" s="84"/>
      <c r="I313" s="84"/>
      <c r="J313" s="84"/>
      <c r="K313" s="84"/>
      <c r="L313" s="84"/>
    </row>
    <row r="314" spans="2:12" x14ac:dyDescent="0.25">
      <c r="B314" s="85">
        <v>455</v>
      </c>
      <c r="C314" s="85"/>
      <c r="D314" s="85"/>
      <c r="E314" s="85"/>
      <c r="F314" s="85"/>
      <c r="G314" s="85"/>
      <c r="H314" s="85"/>
      <c r="I314" s="85"/>
      <c r="J314" s="85"/>
      <c r="K314" s="85"/>
      <c r="L314" s="85"/>
    </row>
    <row r="315" spans="2:12" x14ac:dyDescent="0.25">
      <c r="B315" s="84">
        <v>465</v>
      </c>
      <c r="C315" s="84"/>
      <c r="D315" s="84"/>
      <c r="E315" s="84"/>
      <c r="F315" s="84"/>
      <c r="G315" s="84"/>
      <c r="H315" s="84"/>
      <c r="I315" s="84"/>
      <c r="J315" s="84"/>
      <c r="K315" s="84"/>
      <c r="L315" s="84"/>
    </row>
    <row r="316" spans="2:12" x14ac:dyDescent="0.25">
      <c r="B316" s="85">
        <v>475</v>
      </c>
      <c r="C316" s="85"/>
      <c r="D316" s="85"/>
      <c r="E316" s="85"/>
      <c r="F316" s="85"/>
      <c r="G316" s="85"/>
      <c r="H316" s="85"/>
      <c r="I316" s="85"/>
      <c r="J316" s="85"/>
      <c r="K316" s="85"/>
      <c r="L316" s="85"/>
    </row>
    <row r="317" spans="2:12" x14ac:dyDescent="0.25">
      <c r="B317" s="84">
        <v>485</v>
      </c>
      <c r="C317" s="84"/>
      <c r="D317" s="84"/>
      <c r="E317" s="84"/>
      <c r="F317" s="84"/>
      <c r="G317" s="84"/>
      <c r="H317" s="84"/>
      <c r="I317" s="84"/>
      <c r="J317" s="84"/>
      <c r="K317" s="84"/>
      <c r="L317" s="84"/>
    </row>
    <row r="318" spans="2:12" x14ac:dyDescent="0.25">
      <c r="B318" s="85">
        <v>495</v>
      </c>
      <c r="C318" s="85"/>
      <c r="D318" s="85"/>
      <c r="E318" s="85"/>
      <c r="F318" s="85"/>
      <c r="G318" s="85"/>
      <c r="H318" s="85"/>
      <c r="I318" s="85"/>
      <c r="J318" s="85"/>
      <c r="K318" s="85"/>
      <c r="L318" s="85"/>
    </row>
    <row r="319" spans="2:12" x14ac:dyDescent="0.25">
      <c r="B319" s="84">
        <v>505</v>
      </c>
      <c r="C319" s="84"/>
      <c r="D319" s="84"/>
      <c r="E319" s="84"/>
      <c r="F319" s="84"/>
      <c r="G319" s="84"/>
      <c r="H319" s="84"/>
      <c r="I319" s="84"/>
      <c r="J319" s="84"/>
      <c r="K319" s="84"/>
      <c r="L319" s="84"/>
    </row>
    <row r="320" spans="2:12" x14ac:dyDescent="0.25">
      <c r="B320" s="85">
        <v>515</v>
      </c>
      <c r="C320" s="85"/>
      <c r="D320" s="85"/>
      <c r="E320" s="85"/>
      <c r="F320" s="85"/>
      <c r="G320" s="85"/>
      <c r="H320" s="85"/>
      <c r="I320" s="85"/>
      <c r="J320" s="85"/>
      <c r="K320" s="85"/>
      <c r="L320" s="85"/>
    </row>
    <row r="321" spans="2:12" x14ac:dyDescent="0.25">
      <c r="B321" s="84">
        <v>525</v>
      </c>
      <c r="C321" s="84"/>
      <c r="D321" s="84"/>
      <c r="E321" s="84"/>
      <c r="F321" s="84"/>
      <c r="G321" s="84"/>
      <c r="H321" s="84"/>
      <c r="I321" s="84"/>
      <c r="J321" s="84"/>
      <c r="K321" s="84"/>
      <c r="L321" s="84"/>
    </row>
    <row r="322" spans="2:12" x14ac:dyDescent="0.25">
      <c r="B322" s="85">
        <v>535</v>
      </c>
      <c r="C322" s="85"/>
      <c r="D322" s="85"/>
      <c r="E322" s="85"/>
      <c r="F322" s="85"/>
      <c r="G322" s="85"/>
      <c r="H322" s="85"/>
      <c r="I322" s="85"/>
      <c r="J322" s="85"/>
      <c r="K322" s="85"/>
      <c r="L322" s="85"/>
    </row>
    <row r="323" spans="2:12" x14ac:dyDescent="0.25">
      <c r="B323" s="84">
        <v>545</v>
      </c>
      <c r="C323" s="84"/>
      <c r="D323" s="84"/>
      <c r="E323" s="84"/>
      <c r="F323" s="84"/>
      <c r="G323" s="84"/>
      <c r="H323" s="84"/>
      <c r="I323" s="84"/>
      <c r="J323" s="84"/>
      <c r="K323" s="84"/>
      <c r="L323" s="84"/>
    </row>
    <row r="324" spans="2:12" x14ac:dyDescent="0.25">
      <c r="B324" s="85">
        <v>555</v>
      </c>
      <c r="C324" s="85"/>
      <c r="D324" s="85"/>
      <c r="E324" s="85"/>
      <c r="F324" s="85"/>
      <c r="G324" s="85"/>
      <c r="H324" s="85"/>
      <c r="I324" s="85"/>
      <c r="J324" s="85"/>
      <c r="K324" s="85"/>
      <c r="L324" s="85"/>
    </row>
    <row r="325" spans="2:12" x14ac:dyDescent="0.25">
      <c r="B325" s="84">
        <v>565</v>
      </c>
      <c r="C325" s="84"/>
      <c r="D325" s="84"/>
      <c r="E325" s="84"/>
      <c r="F325" s="84"/>
      <c r="G325" s="84"/>
      <c r="H325" s="84"/>
      <c r="I325" s="84"/>
      <c r="J325" s="84"/>
      <c r="K325" s="84"/>
      <c r="L325" s="84"/>
    </row>
    <row r="326" spans="2:12" x14ac:dyDescent="0.25">
      <c r="B326" s="85">
        <v>575</v>
      </c>
      <c r="C326" s="85"/>
      <c r="D326" s="85"/>
      <c r="E326" s="85"/>
      <c r="F326" s="85"/>
      <c r="G326" s="85"/>
      <c r="H326" s="85"/>
      <c r="I326" s="85"/>
      <c r="J326" s="85"/>
      <c r="K326" s="85"/>
      <c r="L326" s="85"/>
    </row>
    <row r="327" spans="2:12" x14ac:dyDescent="0.25">
      <c r="B327" s="84">
        <v>585</v>
      </c>
      <c r="C327" s="84"/>
      <c r="D327" s="84"/>
      <c r="E327" s="84"/>
      <c r="F327" s="84"/>
      <c r="G327" s="84"/>
      <c r="H327" s="84"/>
      <c r="I327" s="84"/>
      <c r="J327" s="84"/>
      <c r="K327" s="84"/>
      <c r="L327" s="84"/>
    </row>
    <row r="328" spans="2:12" x14ac:dyDescent="0.25">
      <c r="B328" s="85">
        <v>595</v>
      </c>
      <c r="C328" s="85"/>
      <c r="D328" s="85"/>
      <c r="E328" s="85"/>
      <c r="F328" s="85"/>
      <c r="G328" s="85"/>
      <c r="H328" s="85"/>
      <c r="I328" s="85"/>
      <c r="J328" s="85"/>
      <c r="K328" s="85"/>
      <c r="L328" s="85"/>
    </row>
    <row r="329" spans="2:12" x14ac:dyDescent="0.25">
      <c r="B329" s="84">
        <v>605</v>
      </c>
      <c r="C329" s="84"/>
      <c r="D329" s="84"/>
      <c r="E329" s="84"/>
      <c r="F329" s="84"/>
      <c r="G329" s="84"/>
      <c r="H329" s="84"/>
      <c r="I329" s="84"/>
      <c r="J329" s="84"/>
      <c r="K329" s="84"/>
      <c r="L329" s="84"/>
    </row>
    <row r="330" spans="2:12" x14ac:dyDescent="0.25">
      <c r="B330" s="85">
        <v>615</v>
      </c>
      <c r="C330" s="85"/>
      <c r="D330" s="85"/>
      <c r="E330" s="85"/>
      <c r="F330" s="85"/>
      <c r="G330" s="85"/>
      <c r="H330" s="85"/>
      <c r="I330" s="85"/>
      <c r="J330" s="85"/>
      <c r="K330" s="85"/>
      <c r="L330" s="85"/>
    </row>
    <row r="331" spans="2:12" x14ac:dyDescent="0.25">
      <c r="B331" s="84">
        <v>625</v>
      </c>
      <c r="C331" s="84"/>
      <c r="D331" s="84"/>
      <c r="E331" s="84"/>
      <c r="F331" s="84"/>
      <c r="G331" s="84"/>
      <c r="H331" s="84"/>
      <c r="I331" s="84"/>
      <c r="J331" s="84"/>
      <c r="K331" s="84"/>
      <c r="L331" s="84"/>
    </row>
    <row r="332" spans="2:12" x14ac:dyDescent="0.25">
      <c r="B332" s="85">
        <v>635</v>
      </c>
      <c r="C332" s="85"/>
      <c r="D332" s="85"/>
      <c r="E332" s="85"/>
      <c r="F332" s="85"/>
      <c r="G332" s="85"/>
      <c r="H332" s="85"/>
      <c r="I332" s="85"/>
      <c r="J332" s="85"/>
      <c r="K332" s="85"/>
      <c r="L332" s="85"/>
    </row>
    <row r="333" spans="2:12" x14ac:dyDescent="0.25">
      <c r="B333" s="84">
        <v>645</v>
      </c>
      <c r="C333" s="84"/>
      <c r="D333" s="84"/>
      <c r="E333" s="84"/>
      <c r="F333" s="84"/>
      <c r="G333" s="84"/>
      <c r="H333" s="84"/>
      <c r="I333" s="84"/>
      <c r="J333" s="84"/>
      <c r="K333" s="84"/>
      <c r="L333" s="84"/>
    </row>
    <row r="334" spans="2:12" x14ac:dyDescent="0.25">
      <c r="B334" s="85">
        <v>655</v>
      </c>
      <c r="C334" s="85"/>
      <c r="D334" s="85"/>
      <c r="E334" s="85"/>
      <c r="F334" s="85"/>
      <c r="G334" s="85"/>
      <c r="H334" s="85"/>
      <c r="I334" s="85"/>
      <c r="J334" s="85"/>
      <c r="K334" s="85"/>
      <c r="L334" s="85"/>
    </row>
    <row r="335" spans="2:12" x14ac:dyDescent="0.25">
      <c r="B335" s="84">
        <v>665</v>
      </c>
      <c r="C335" s="84"/>
      <c r="D335" s="84"/>
      <c r="E335" s="84"/>
      <c r="F335" s="84"/>
      <c r="G335" s="84"/>
      <c r="H335" s="84"/>
      <c r="I335" s="84"/>
      <c r="J335" s="84"/>
      <c r="K335" s="84"/>
      <c r="L335" s="84"/>
    </row>
    <row r="336" spans="2:12" x14ac:dyDescent="0.25">
      <c r="B336" s="85">
        <v>675</v>
      </c>
      <c r="C336" s="85"/>
      <c r="D336" s="85"/>
      <c r="E336" s="85"/>
      <c r="F336" s="85"/>
      <c r="G336" s="85"/>
      <c r="H336" s="85"/>
      <c r="I336" s="85"/>
      <c r="J336" s="85"/>
      <c r="K336" s="85"/>
      <c r="L336" s="85"/>
    </row>
    <row r="337" spans="2:12" x14ac:dyDescent="0.25">
      <c r="B337" s="84">
        <v>685</v>
      </c>
      <c r="C337" s="84"/>
      <c r="D337" s="84"/>
      <c r="E337" s="84"/>
      <c r="F337" s="84"/>
      <c r="G337" s="84"/>
      <c r="H337" s="84"/>
      <c r="I337" s="84"/>
      <c r="J337" s="84"/>
      <c r="K337" s="84"/>
      <c r="L337" s="84"/>
    </row>
    <row r="338" spans="2:12" x14ac:dyDescent="0.25">
      <c r="B338" s="85">
        <v>695</v>
      </c>
      <c r="C338" s="85"/>
      <c r="D338" s="85"/>
      <c r="E338" s="85"/>
      <c r="F338" s="85"/>
      <c r="G338" s="85"/>
      <c r="H338" s="85"/>
      <c r="I338" s="85"/>
      <c r="J338" s="85"/>
      <c r="K338" s="85"/>
      <c r="L338" s="85"/>
    </row>
    <row r="339" spans="2:12" x14ac:dyDescent="0.25">
      <c r="B339" s="84">
        <v>705</v>
      </c>
      <c r="C339" s="84"/>
      <c r="D339" s="84"/>
      <c r="E339" s="84"/>
      <c r="F339" s="84"/>
      <c r="G339" s="84"/>
      <c r="H339" s="84"/>
      <c r="I339" s="84"/>
      <c r="J339" s="84"/>
      <c r="K339" s="84"/>
      <c r="L339" s="84"/>
    </row>
    <row r="340" spans="2:12" x14ac:dyDescent="0.25">
      <c r="B340" s="85">
        <v>715</v>
      </c>
      <c r="C340" s="85"/>
      <c r="D340" s="85"/>
      <c r="E340" s="85"/>
      <c r="F340" s="85"/>
      <c r="G340" s="85"/>
      <c r="H340" s="85"/>
      <c r="I340" s="85"/>
      <c r="J340" s="85"/>
      <c r="K340" s="85"/>
      <c r="L340" s="85"/>
    </row>
    <row r="341" spans="2:12" x14ac:dyDescent="0.25">
      <c r="B341" s="84">
        <v>725</v>
      </c>
      <c r="C341" s="84"/>
      <c r="D341" s="84"/>
      <c r="E341" s="84"/>
      <c r="F341" s="84"/>
      <c r="G341" s="84"/>
      <c r="H341" s="84"/>
      <c r="I341" s="84"/>
      <c r="J341" s="84"/>
      <c r="K341" s="84"/>
      <c r="L341" s="84"/>
    </row>
    <row r="342" spans="2:12" x14ac:dyDescent="0.25">
      <c r="B342" s="85">
        <v>735</v>
      </c>
      <c r="C342" s="85"/>
      <c r="D342" s="85"/>
      <c r="E342" s="85"/>
      <c r="F342" s="85"/>
      <c r="G342" s="85"/>
      <c r="H342" s="85"/>
      <c r="I342" s="85"/>
      <c r="J342" s="85"/>
      <c r="K342" s="85"/>
      <c r="L342" s="85"/>
    </row>
    <row r="343" spans="2:12" x14ac:dyDescent="0.25">
      <c r="B343" s="84">
        <v>745</v>
      </c>
      <c r="C343" s="84"/>
      <c r="D343" s="84"/>
      <c r="E343" s="84"/>
      <c r="F343" s="84"/>
      <c r="G343" s="84"/>
      <c r="H343" s="84"/>
      <c r="I343" s="84"/>
      <c r="J343" s="84"/>
      <c r="K343" s="84"/>
      <c r="L343" s="84"/>
    </row>
    <row r="344" spans="2:12" x14ac:dyDescent="0.25">
      <c r="B344" s="85">
        <v>755</v>
      </c>
      <c r="C344" s="85"/>
      <c r="D344" s="85"/>
      <c r="E344" s="85"/>
      <c r="F344" s="85"/>
      <c r="G344" s="85"/>
      <c r="H344" s="85"/>
      <c r="I344" s="85"/>
      <c r="J344" s="85"/>
      <c r="K344" s="85"/>
      <c r="L344" s="85"/>
    </row>
    <row r="345" spans="2:12" x14ac:dyDescent="0.25">
      <c r="B345" s="84">
        <v>765</v>
      </c>
      <c r="C345" s="84"/>
      <c r="D345" s="84"/>
      <c r="E345" s="84"/>
      <c r="F345" s="84"/>
      <c r="G345" s="84"/>
      <c r="H345" s="84"/>
      <c r="I345" s="84"/>
      <c r="J345" s="84"/>
      <c r="K345" s="84"/>
      <c r="L345" s="84"/>
    </row>
    <row r="346" spans="2:12" x14ac:dyDescent="0.25">
      <c r="B346" s="85">
        <v>775</v>
      </c>
      <c r="C346" s="85"/>
      <c r="D346" s="85"/>
      <c r="E346" s="85"/>
      <c r="F346" s="85"/>
      <c r="G346" s="85"/>
      <c r="H346" s="85"/>
      <c r="I346" s="85"/>
      <c r="J346" s="85"/>
      <c r="K346" s="85"/>
      <c r="L346" s="85"/>
    </row>
    <row r="347" spans="2:12" x14ac:dyDescent="0.25">
      <c r="B347" s="84">
        <v>785</v>
      </c>
      <c r="C347" s="84"/>
      <c r="D347" s="84"/>
      <c r="E347" s="84"/>
      <c r="F347" s="84"/>
      <c r="G347" s="84"/>
      <c r="H347" s="84"/>
      <c r="I347" s="84"/>
      <c r="J347" s="84"/>
      <c r="K347" s="84"/>
      <c r="L347" s="84"/>
    </row>
    <row r="348" spans="2:12" x14ac:dyDescent="0.25">
      <c r="B348" s="85">
        <v>795</v>
      </c>
      <c r="C348" s="85"/>
      <c r="D348" s="85"/>
      <c r="E348" s="85"/>
      <c r="F348" s="85"/>
      <c r="G348" s="85"/>
      <c r="H348" s="85"/>
      <c r="I348" s="85"/>
      <c r="J348" s="85"/>
      <c r="K348" s="85"/>
      <c r="L348" s="85"/>
    </row>
    <row r="349" spans="2:12" x14ac:dyDescent="0.25">
      <c r="B349" s="84">
        <v>805</v>
      </c>
      <c r="C349" s="84"/>
      <c r="D349" s="84"/>
      <c r="E349" s="84"/>
      <c r="F349" s="84"/>
      <c r="G349" s="84"/>
      <c r="H349" s="84"/>
      <c r="I349" s="84"/>
      <c r="J349" s="84"/>
      <c r="K349" s="84"/>
      <c r="L349" s="84"/>
    </row>
    <row r="350" spans="2:12" x14ac:dyDescent="0.25">
      <c r="B350" s="85">
        <v>815</v>
      </c>
      <c r="C350" s="85"/>
      <c r="D350" s="85"/>
      <c r="E350" s="85"/>
      <c r="F350" s="85"/>
      <c r="G350" s="85"/>
      <c r="H350" s="85"/>
      <c r="I350" s="85"/>
      <c r="J350" s="85"/>
      <c r="K350" s="85"/>
      <c r="L350" s="85"/>
    </row>
    <row r="351" spans="2:12" x14ac:dyDescent="0.25">
      <c r="B351" s="84">
        <v>825</v>
      </c>
      <c r="C351" s="84"/>
      <c r="D351" s="84"/>
      <c r="E351" s="84"/>
      <c r="F351" s="84"/>
      <c r="G351" s="84"/>
      <c r="H351" s="84"/>
      <c r="I351" s="84"/>
      <c r="J351" s="84"/>
      <c r="K351" s="84"/>
      <c r="L351" s="84"/>
    </row>
    <row r="352" spans="2:12" x14ac:dyDescent="0.25">
      <c r="B352" s="85">
        <v>835</v>
      </c>
      <c r="C352" s="85"/>
      <c r="D352" s="85"/>
      <c r="E352" s="85"/>
      <c r="F352" s="85"/>
      <c r="G352" s="85"/>
      <c r="H352" s="85"/>
      <c r="I352" s="85"/>
      <c r="J352" s="85"/>
      <c r="K352" s="85"/>
      <c r="L352" s="85"/>
    </row>
    <row r="353" spans="2:12" x14ac:dyDescent="0.25">
      <c r="B353" s="84">
        <v>845</v>
      </c>
      <c r="C353" s="84"/>
      <c r="D353" s="84"/>
      <c r="E353" s="84"/>
      <c r="F353" s="84"/>
      <c r="G353" s="84"/>
      <c r="H353" s="84"/>
      <c r="I353" s="84"/>
      <c r="J353" s="84"/>
      <c r="K353" s="84"/>
      <c r="L353" s="84"/>
    </row>
    <row r="354" spans="2:12" x14ac:dyDescent="0.25">
      <c r="B354" s="85">
        <v>855</v>
      </c>
      <c r="C354" s="85"/>
      <c r="D354" s="85"/>
      <c r="E354" s="85"/>
      <c r="F354" s="85"/>
      <c r="G354" s="85"/>
      <c r="H354" s="85"/>
      <c r="I354" s="85"/>
      <c r="J354" s="85"/>
      <c r="K354" s="85"/>
      <c r="L354" s="85"/>
    </row>
    <row r="355" spans="2:12" x14ac:dyDescent="0.25">
      <c r="B355" s="84">
        <v>865</v>
      </c>
      <c r="C355" s="84"/>
      <c r="D355" s="84"/>
      <c r="E355" s="84"/>
      <c r="F355" s="84"/>
      <c r="G355" s="84"/>
      <c r="H355" s="84"/>
      <c r="I355" s="84"/>
      <c r="J355" s="84"/>
      <c r="K355" s="84"/>
      <c r="L355" s="84"/>
    </row>
    <row r="356" spans="2:12" x14ac:dyDescent="0.25">
      <c r="B356" s="85">
        <v>875</v>
      </c>
      <c r="C356" s="85"/>
      <c r="D356" s="85"/>
      <c r="E356" s="85"/>
      <c r="F356" s="85"/>
      <c r="G356" s="85"/>
      <c r="H356" s="85"/>
      <c r="I356" s="85"/>
      <c r="J356" s="85"/>
      <c r="K356" s="85"/>
      <c r="L356" s="85"/>
    </row>
    <row r="357" spans="2:12" x14ac:dyDescent="0.25">
      <c r="B357" s="84">
        <v>885</v>
      </c>
      <c r="C357" s="84"/>
      <c r="D357" s="84"/>
      <c r="E357" s="84"/>
      <c r="F357" s="84"/>
      <c r="G357" s="84"/>
      <c r="H357" s="84"/>
      <c r="I357" s="84"/>
      <c r="J357" s="84"/>
      <c r="K357" s="84"/>
      <c r="L357" s="84"/>
    </row>
    <row r="358" spans="2:12" x14ac:dyDescent="0.25">
      <c r="B358" s="85">
        <v>895</v>
      </c>
      <c r="C358" s="85"/>
      <c r="D358" s="85"/>
      <c r="E358" s="85"/>
      <c r="F358" s="85"/>
      <c r="G358" s="85"/>
      <c r="H358" s="85"/>
      <c r="I358" s="85"/>
      <c r="J358" s="85"/>
      <c r="K358" s="85"/>
      <c r="L358" s="85"/>
    </row>
    <row r="359" spans="2:12" x14ac:dyDescent="0.25">
      <c r="B359" s="84">
        <v>905</v>
      </c>
      <c r="C359" s="84"/>
      <c r="D359" s="84"/>
      <c r="E359" s="84"/>
      <c r="F359" s="84"/>
      <c r="G359" s="84"/>
      <c r="H359" s="84"/>
      <c r="I359" s="84"/>
      <c r="J359" s="84"/>
      <c r="K359" s="84"/>
      <c r="L359" s="84"/>
    </row>
    <row r="360" spans="2:12" x14ac:dyDescent="0.25">
      <c r="B360" s="85">
        <v>915</v>
      </c>
      <c r="C360" s="85"/>
      <c r="D360" s="85"/>
      <c r="E360" s="85"/>
      <c r="F360" s="85"/>
      <c r="G360" s="85"/>
      <c r="H360" s="85"/>
      <c r="I360" s="85"/>
      <c r="J360" s="85"/>
      <c r="K360" s="85"/>
      <c r="L360" s="85"/>
    </row>
    <row r="361" spans="2:12" x14ac:dyDescent="0.25">
      <c r="B361" s="84">
        <v>925</v>
      </c>
      <c r="C361" s="84"/>
      <c r="D361" s="84"/>
      <c r="E361" s="84"/>
      <c r="F361" s="84"/>
      <c r="G361" s="84"/>
      <c r="H361" s="84"/>
      <c r="I361" s="84"/>
      <c r="J361" s="84"/>
      <c r="K361" s="84"/>
      <c r="L361" s="84"/>
    </row>
    <row r="362" spans="2:12" x14ac:dyDescent="0.25">
      <c r="B362" s="85">
        <v>935</v>
      </c>
      <c r="C362" s="85"/>
      <c r="D362" s="85"/>
      <c r="E362" s="85"/>
      <c r="F362" s="85"/>
      <c r="G362" s="85"/>
      <c r="H362" s="85"/>
      <c r="I362" s="85"/>
      <c r="J362" s="85"/>
      <c r="K362" s="85"/>
      <c r="L362" s="85"/>
    </row>
    <row r="363" spans="2:12" x14ac:dyDescent="0.25">
      <c r="B363" s="84">
        <v>945</v>
      </c>
      <c r="C363" s="84"/>
      <c r="D363" s="84"/>
      <c r="E363" s="84"/>
      <c r="F363" s="84"/>
      <c r="G363" s="84"/>
      <c r="H363" s="84"/>
      <c r="I363" s="84"/>
      <c r="J363" s="84"/>
      <c r="K363" s="84"/>
      <c r="L363" s="84"/>
    </row>
    <row r="364" spans="2:12" x14ac:dyDescent="0.25">
      <c r="B364" s="85">
        <v>955</v>
      </c>
      <c r="C364" s="85"/>
      <c r="D364" s="85"/>
      <c r="E364" s="85"/>
      <c r="F364" s="85"/>
      <c r="G364" s="85"/>
      <c r="H364" s="85"/>
      <c r="I364" s="85"/>
      <c r="J364" s="85"/>
      <c r="K364" s="85"/>
      <c r="L364" s="85"/>
    </row>
    <row r="365" spans="2:12" x14ac:dyDescent="0.25">
      <c r="B365" s="84">
        <v>965</v>
      </c>
      <c r="C365" s="84"/>
      <c r="D365" s="84"/>
      <c r="E365" s="84"/>
      <c r="F365" s="84"/>
      <c r="G365" s="84"/>
      <c r="H365" s="84"/>
      <c r="I365" s="84"/>
      <c r="J365" s="84"/>
      <c r="K365" s="84"/>
      <c r="L365" s="84"/>
    </row>
    <row r="366" spans="2:12" x14ac:dyDescent="0.25">
      <c r="B366" s="85">
        <v>975</v>
      </c>
      <c r="C366" s="85"/>
      <c r="D366" s="85"/>
      <c r="E366" s="85"/>
      <c r="F366" s="85"/>
      <c r="G366" s="85"/>
      <c r="H366" s="85"/>
      <c r="I366" s="85"/>
      <c r="J366" s="85"/>
      <c r="K366" s="85"/>
      <c r="L366" s="85"/>
    </row>
    <row r="367" spans="2:12" x14ac:dyDescent="0.25">
      <c r="B367" s="84">
        <v>985</v>
      </c>
      <c r="C367" s="84"/>
      <c r="D367" s="84"/>
      <c r="E367" s="84"/>
      <c r="F367" s="84"/>
      <c r="G367" s="84"/>
      <c r="H367" s="84"/>
      <c r="I367" s="84"/>
      <c r="J367" s="84"/>
      <c r="K367" s="84"/>
      <c r="L367" s="84"/>
    </row>
    <row r="368" spans="2:12" x14ac:dyDescent="0.25">
      <c r="B368" s="85">
        <v>995</v>
      </c>
      <c r="C368" s="85"/>
      <c r="D368" s="85"/>
      <c r="E368" s="85"/>
      <c r="F368" s="85"/>
      <c r="G368" s="85"/>
      <c r="H368" s="85"/>
      <c r="I368" s="85"/>
      <c r="J368" s="85"/>
      <c r="K368" s="85"/>
      <c r="L368" s="85"/>
    </row>
    <row r="369" spans="2:12" x14ac:dyDescent="0.25">
      <c r="B369" s="84">
        <v>1005</v>
      </c>
      <c r="C369" s="84"/>
      <c r="D369" s="84"/>
      <c r="E369" s="84"/>
      <c r="F369" s="84"/>
      <c r="G369" s="84"/>
      <c r="H369" s="84"/>
      <c r="I369" s="84"/>
      <c r="J369" s="84"/>
      <c r="K369" s="84"/>
      <c r="L369" s="84"/>
    </row>
    <row r="370" spans="2:12" x14ac:dyDescent="0.25">
      <c r="B370" s="85">
        <v>1015</v>
      </c>
      <c r="C370" s="85"/>
      <c r="D370" s="85"/>
      <c r="E370" s="85"/>
      <c r="F370" s="85"/>
      <c r="G370" s="85"/>
      <c r="H370" s="85"/>
      <c r="I370" s="85"/>
      <c r="J370" s="85"/>
      <c r="K370" s="85"/>
      <c r="L370" s="85"/>
    </row>
    <row r="371" spans="2:12" x14ac:dyDescent="0.25">
      <c r="B371" s="84">
        <v>1025</v>
      </c>
      <c r="C371" s="84"/>
      <c r="D371" s="84"/>
      <c r="E371" s="84"/>
      <c r="F371" s="84"/>
      <c r="G371" s="84"/>
      <c r="H371" s="84"/>
      <c r="I371" s="84"/>
      <c r="J371" s="84"/>
      <c r="K371" s="84"/>
      <c r="L371" s="84"/>
    </row>
    <row r="372" spans="2:12" x14ac:dyDescent="0.25">
      <c r="B372" s="85">
        <v>1035</v>
      </c>
      <c r="C372" s="85"/>
      <c r="D372" s="85"/>
      <c r="E372" s="85"/>
      <c r="F372" s="85"/>
      <c r="G372" s="85"/>
      <c r="H372" s="85"/>
      <c r="I372" s="85"/>
      <c r="J372" s="85"/>
      <c r="K372" s="85"/>
      <c r="L372" s="85"/>
    </row>
    <row r="373" spans="2:12" x14ac:dyDescent="0.25">
      <c r="B373" s="84">
        <v>1045</v>
      </c>
      <c r="C373" s="84"/>
      <c r="D373" s="84"/>
      <c r="E373" s="84"/>
      <c r="F373" s="84"/>
      <c r="G373" s="84"/>
      <c r="H373" s="84"/>
      <c r="I373" s="84"/>
      <c r="J373" s="84"/>
      <c r="K373" s="84"/>
      <c r="L373" s="84"/>
    </row>
    <row r="374" spans="2:12" x14ac:dyDescent="0.25">
      <c r="B374" s="85">
        <v>1055</v>
      </c>
      <c r="C374" s="85"/>
      <c r="D374" s="85"/>
      <c r="E374" s="85"/>
      <c r="F374" s="85"/>
      <c r="G374" s="85"/>
      <c r="H374" s="85"/>
      <c r="I374" s="85"/>
      <c r="J374" s="85"/>
      <c r="K374" s="85"/>
      <c r="L374" s="85"/>
    </row>
    <row r="375" spans="2:12" x14ac:dyDescent="0.25">
      <c r="B375" s="84">
        <v>1065</v>
      </c>
      <c r="C375" s="84"/>
      <c r="D375" s="84"/>
      <c r="E375" s="84"/>
      <c r="F375" s="84"/>
      <c r="G375" s="84"/>
      <c r="H375" s="84"/>
      <c r="I375" s="84"/>
      <c r="J375" s="84"/>
      <c r="K375" s="84"/>
      <c r="L375" s="84"/>
    </row>
    <row r="376" spans="2:12" x14ac:dyDescent="0.25">
      <c r="B376" s="85">
        <v>1075</v>
      </c>
      <c r="C376" s="85"/>
      <c r="D376" s="85"/>
      <c r="E376" s="85"/>
      <c r="F376" s="85"/>
      <c r="G376" s="85"/>
      <c r="H376" s="85"/>
      <c r="I376" s="85"/>
      <c r="J376" s="85"/>
      <c r="K376" s="85"/>
      <c r="L376" s="85"/>
    </row>
    <row r="377" spans="2:12" x14ac:dyDescent="0.25">
      <c r="B377" s="84">
        <v>1085</v>
      </c>
      <c r="C377" s="84"/>
      <c r="D377" s="84"/>
      <c r="E377" s="84"/>
      <c r="F377" s="84"/>
      <c r="G377" s="84"/>
      <c r="H377" s="84"/>
      <c r="I377" s="84"/>
      <c r="J377" s="84"/>
      <c r="K377" s="84"/>
      <c r="L377" s="84"/>
    </row>
    <row r="378" spans="2:12" x14ac:dyDescent="0.25">
      <c r="B378" s="85">
        <v>1095</v>
      </c>
      <c r="C378" s="85"/>
      <c r="D378" s="85"/>
      <c r="E378" s="85"/>
      <c r="F378" s="85"/>
      <c r="G378" s="85"/>
      <c r="H378" s="85"/>
      <c r="I378" s="85"/>
      <c r="J378" s="85"/>
      <c r="K378" s="85"/>
      <c r="L378" s="85"/>
    </row>
    <row r="379" spans="2:12" x14ac:dyDescent="0.25">
      <c r="B379" s="84">
        <v>1105</v>
      </c>
      <c r="C379" s="84"/>
      <c r="D379" s="84"/>
      <c r="E379" s="84"/>
      <c r="F379" s="84"/>
      <c r="G379" s="84"/>
      <c r="H379" s="84"/>
      <c r="I379" s="84"/>
      <c r="J379" s="84"/>
      <c r="K379" s="84"/>
      <c r="L379" s="84"/>
    </row>
    <row r="380" spans="2:12" x14ac:dyDescent="0.25">
      <c r="B380" s="85">
        <v>1115</v>
      </c>
      <c r="C380" s="85"/>
      <c r="D380" s="85"/>
      <c r="E380" s="85"/>
      <c r="F380" s="85"/>
      <c r="G380" s="85"/>
      <c r="H380" s="85"/>
      <c r="I380" s="85"/>
      <c r="J380" s="85"/>
      <c r="K380" s="85"/>
      <c r="L380" s="85"/>
    </row>
    <row r="381" spans="2:12" x14ac:dyDescent="0.25">
      <c r="B381" s="84">
        <v>1125</v>
      </c>
      <c r="C381" s="84"/>
      <c r="D381" s="84"/>
      <c r="E381" s="84"/>
      <c r="F381" s="84"/>
      <c r="G381" s="84"/>
      <c r="H381" s="84"/>
      <c r="I381" s="84"/>
      <c r="J381" s="84"/>
      <c r="K381" s="84"/>
      <c r="L381" s="84"/>
    </row>
    <row r="382" spans="2:12" x14ac:dyDescent="0.25">
      <c r="B382" s="85">
        <v>1135</v>
      </c>
      <c r="C382" s="85"/>
      <c r="D382" s="85"/>
      <c r="E382" s="85"/>
      <c r="F382" s="85"/>
      <c r="G382" s="85"/>
      <c r="H382" s="85"/>
      <c r="I382" s="85"/>
      <c r="J382" s="85"/>
      <c r="K382" s="85"/>
      <c r="L382" s="85"/>
    </row>
    <row r="383" spans="2:12" x14ac:dyDescent="0.25">
      <c r="B383" s="84">
        <v>1145</v>
      </c>
      <c r="C383" s="84"/>
      <c r="D383" s="84"/>
      <c r="E383" s="84"/>
      <c r="F383" s="84"/>
      <c r="G383" s="84"/>
      <c r="H383" s="84"/>
      <c r="I383" s="84"/>
      <c r="J383" s="84"/>
      <c r="K383" s="84"/>
      <c r="L383" s="84"/>
    </row>
    <row r="384" spans="2:12" x14ac:dyDescent="0.25">
      <c r="B384" s="85">
        <v>1155</v>
      </c>
      <c r="C384" s="85"/>
      <c r="D384" s="85"/>
      <c r="E384" s="85"/>
      <c r="F384" s="85"/>
      <c r="G384" s="85"/>
      <c r="H384" s="85"/>
      <c r="I384" s="85"/>
      <c r="J384" s="85"/>
      <c r="K384" s="85"/>
      <c r="L384" s="85"/>
    </row>
    <row r="385" spans="2:12" x14ac:dyDescent="0.25">
      <c r="B385" s="84">
        <v>1165</v>
      </c>
      <c r="C385" s="84"/>
      <c r="D385" s="84"/>
      <c r="E385" s="84"/>
      <c r="F385" s="84"/>
      <c r="G385" s="84"/>
      <c r="H385" s="84"/>
      <c r="I385" s="84"/>
      <c r="J385" s="84"/>
      <c r="K385" s="84"/>
      <c r="L385" s="84"/>
    </row>
    <row r="386" spans="2:12" x14ac:dyDescent="0.25">
      <c r="B386" s="85">
        <v>1175</v>
      </c>
      <c r="C386" s="85"/>
      <c r="D386" s="85"/>
      <c r="E386" s="85"/>
      <c r="F386" s="85"/>
      <c r="G386" s="85"/>
      <c r="H386" s="85"/>
      <c r="I386" s="85"/>
      <c r="J386" s="85"/>
      <c r="K386" s="85"/>
      <c r="L386" s="85"/>
    </row>
    <row r="387" spans="2:12" x14ac:dyDescent="0.25">
      <c r="B387" s="84">
        <v>1185</v>
      </c>
      <c r="C387" s="84"/>
      <c r="D387" s="84"/>
      <c r="E387" s="84"/>
      <c r="F387" s="84"/>
      <c r="G387" s="84"/>
      <c r="H387" s="84"/>
      <c r="I387" s="84"/>
      <c r="J387" s="84"/>
      <c r="K387" s="84"/>
      <c r="L387" s="84"/>
    </row>
    <row r="388" spans="2:12" x14ac:dyDescent="0.25">
      <c r="B388" s="85">
        <v>1195</v>
      </c>
      <c r="C388" s="85"/>
      <c r="D388" s="85"/>
      <c r="E388" s="85"/>
      <c r="F388" s="85"/>
      <c r="G388" s="85"/>
      <c r="H388" s="85"/>
      <c r="I388" s="85"/>
      <c r="J388" s="85"/>
      <c r="K388" s="85"/>
      <c r="L388" s="85"/>
    </row>
    <row r="389" spans="2:12" x14ac:dyDescent="0.25">
      <c r="B389" s="84">
        <v>1295</v>
      </c>
      <c r="C389" s="84"/>
      <c r="D389" s="84"/>
      <c r="E389" s="84"/>
      <c r="F389" s="84"/>
      <c r="G389" s="84"/>
      <c r="H389" s="84"/>
      <c r="I389" s="84"/>
      <c r="J389" s="84"/>
      <c r="K389" s="84"/>
      <c r="L389" s="84"/>
    </row>
    <row r="390" spans="2:12" x14ac:dyDescent="0.25">
      <c r="B390" s="85">
        <v>1395</v>
      </c>
      <c r="C390" s="85"/>
      <c r="D390" s="85"/>
      <c r="E390" s="85"/>
      <c r="F390" s="85"/>
      <c r="G390" s="85"/>
      <c r="H390" s="85"/>
      <c r="I390" s="85"/>
      <c r="J390" s="85"/>
      <c r="K390" s="85"/>
      <c r="L390" s="85"/>
    </row>
    <row r="391" spans="2:12" x14ac:dyDescent="0.25">
      <c r="B391" s="84">
        <v>1495</v>
      </c>
      <c r="C391" s="84"/>
      <c r="D391" s="84"/>
      <c r="E391" s="84"/>
      <c r="F391" s="84"/>
      <c r="G391" s="84"/>
      <c r="H391" s="84"/>
      <c r="I391" s="84"/>
      <c r="J391" s="84"/>
      <c r="K391" s="84"/>
      <c r="L391" s="84"/>
    </row>
    <row r="392" spans="2:12" x14ac:dyDescent="0.25">
      <c r="B392" s="85">
        <v>1595</v>
      </c>
      <c r="C392" s="85"/>
      <c r="D392" s="85"/>
      <c r="E392" s="85"/>
      <c r="F392" s="85"/>
      <c r="G392" s="85"/>
      <c r="H392" s="85"/>
      <c r="I392" s="85"/>
      <c r="J392" s="85"/>
      <c r="K392" s="85"/>
      <c r="L392" s="85"/>
    </row>
    <row r="393" spans="2:12" x14ac:dyDescent="0.25">
      <c r="B393" s="84">
        <v>1695</v>
      </c>
      <c r="C393" s="84"/>
      <c r="D393" s="84"/>
      <c r="E393" s="84"/>
      <c r="F393" s="84"/>
      <c r="G393" s="84"/>
      <c r="H393" s="84"/>
      <c r="I393" s="84"/>
      <c r="J393" s="84"/>
      <c r="K393" s="84"/>
      <c r="L393" s="84"/>
    </row>
    <row r="394" spans="2:12" x14ac:dyDescent="0.25">
      <c r="B394" s="85">
        <v>1795</v>
      </c>
      <c r="C394" s="85"/>
      <c r="D394" s="85"/>
      <c r="E394" s="85"/>
      <c r="F394" s="85"/>
      <c r="G394" s="85"/>
      <c r="H394" s="85"/>
      <c r="I394" s="85"/>
      <c r="J394" s="85"/>
      <c r="K394" s="85"/>
      <c r="L394" s="85"/>
    </row>
    <row r="395" spans="2:12" x14ac:dyDescent="0.25">
      <c r="B395" s="84">
        <v>1895</v>
      </c>
      <c r="C395" s="84"/>
      <c r="D395" s="84"/>
      <c r="E395" s="84"/>
      <c r="F395" s="84"/>
      <c r="G395" s="84"/>
      <c r="H395" s="84"/>
      <c r="I395" s="84"/>
      <c r="J395" s="84"/>
      <c r="K395" s="84"/>
      <c r="L395" s="84"/>
    </row>
    <row r="396" spans="2:12" x14ac:dyDescent="0.25">
      <c r="B396" s="85">
        <v>1995</v>
      </c>
      <c r="C396" s="85"/>
      <c r="D396" s="85"/>
      <c r="E396" s="85"/>
      <c r="F396" s="85"/>
      <c r="G396" s="85"/>
      <c r="H396" s="85"/>
      <c r="I396" s="85"/>
      <c r="J396" s="85"/>
      <c r="K396" s="85"/>
      <c r="L396" s="85"/>
    </row>
    <row r="397" spans="2:12" x14ac:dyDescent="0.25">
      <c r="B397" s="84">
        <v>2095</v>
      </c>
      <c r="C397" s="84"/>
      <c r="D397" s="84"/>
      <c r="E397" s="84"/>
      <c r="F397" s="84"/>
      <c r="G397" s="84"/>
      <c r="H397" s="84"/>
      <c r="I397" s="84"/>
      <c r="J397" s="84"/>
      <c r="K397" s="84"/>
      <c r="L397" s="84"/>
    </row>
    <row r="398" spans="2:12" x14ac:dyDescent="0.25">
      <c r="B398" s="85">
        <v>2195</v>
      </c>
      <c r="C398" s="85"/>
      <c r="D398" s="85"/>
      <c r="E398" s="85"/>
      <c r="F398" s="85"/>
      <c r="G398" s="85"/>
      <c r="H398" s="85"/>
      <c r="I398" s="85"/>
      <c r="J398" s="85"/>
      <c r="K398" s="85"/>
      <c r="L398" s="85"/>
    </row>
    <row r="399" spans="2:12" x14ac:dyDescent="0.25">
      <c r="B399" s="84">
        <v>2295</v>
      </c>
      <c r="C399" s="84"/>
      <c r="D399" s="84"/>
      <c r="E399" s="84"/>
      <c r="F399" s="84"/>
      <c r="G399" s="84"/>
      <c r="H399" s="84"/>
      <c r="I399" s="84"/>
      <c r="J399" s="84"/>
      <c r="K399" s="84"/>
      <c r="L399" s="84"/>
    </row>
    <row r="400" spans="2:12" x14ac:dyDescent="0.25">
      <c r="B400" s="85">
        <v>2395</v>
      </c>
      <c r="C400" s="85"/>
      <c r="D400" s="85"/>
      <c r="E400" s="85"/>
      <c r="F400" s="85"/>
      <c r="G400" s="85"/>
      <c r="H400" s="85"/>
      <c r="I400" s="85"/>
      <c r="J400" s="85"/>
      <c r="K400" s="85"/>
      <c r="L400" s="85"/>
    </row>
    <row r="401" spans="2:12" x14ac:dyDescent="0.25">
      <c r="B401" s="84">
        <v>2495</v>
      </c>
      <c r="C401" s="84"/>
      <c r="D401" s="84"/>
      <c r="E401" s="84"/>
      <c r="F401" s="84"/>
      <c r="G401" s="84"/>
      <c r="H401" s="84"/>
      <c r="I401" s="84"/>
      <c r="J401" s="84"/>
      <c r="K401" s="84"/>
      <c r="L401" s="84"/>
    </row>
    <row r="402" spans="2:12" x14ac:dyDescent="0.25">
      <c r="B402" s="85">
        <v>2595</v>
      </c>
      <c r="C402" s="85"/>
      <c r="D402" s="85"/>
      <c r="E402" s="85"/>
      <c r="F402" s="85"/>
      <c r="G402" s="85"/>
      <c r="H402" s="85"/>
      <c r="I402" s="85"/>
      <c r="J402" s="85"/>
      <c r="K402" s="85"/>
      <c r="L402" s="85"/>
    </row>
    <row r="403" spans="2:12" x14ac:dyDescent="0.25">
      <c r="B403" s="84">
        <v>2695</v>
      </c>
      <c r="C403" s="84"/>
      <c r="D403" s="84"/>
      <c r="E403" s="84"/>
      <c r="F403" s="84"/>
      <c r="G403" s="84"/>
      <c r="H403" s="84"/>
      <c r="I403" s="84"/>
      <c r="J403" s="84"/>
      <c r="K403" s="84"/>
      <c r="L403" s="84"/>
    </row>
    <row r="404" spans="2:12" x14ac:dyDescent="0.25">
      <c r="B404" s="85">
        <v>2795</v>
      </c>
      <c r="C404" s="85"/>
      <c r="D404" s="85"/>
      <c r="E404" s="85"/>
      <c r="F404" s="85"/>
      <c r="G404" s="85"/>
      <c r="H404" s="85"/>
      <c r="I404" s="85"/>
      <c r="J404" s="85"/>
      <c r="K404" s="85"/>
      <c r="L404" s="85"/>
    </row>
    <row r="405" spans="2:12" x14ac:dyDescent="0.25">
      <c r="B405" s="84">
        <v>2895</v>
      </c>
      <c r="C405" s="84"/>
      <c r="D405" s="84"/>
      <c r="E405" s="84"/>
      <c r="F405" s="84"/>
      <c r="G405" s="84"/>
      <c r="H405" s="84"/>
      <c r="I405" s="84"/>
      <c r="J405" s="84"/>
      <c r="K405" s="84"/>
      <c r="L405" s="84"/>
    </row>
    <row r="406" spans="2:12" x14ac:dyDescent="0.25">
      <c r="B406" s="85">
        <v>2995</v>
      </c>
      <c r="C406" s="85"/>
      <c r="D406" s="85"/>
      <c r="E406" s="85"/>
      <c r="F406" s="85"/>
      <c r="G406" s="85"/>
      <c r="H406" s="85"/>
      <c r="I406" s="85"/>
      <c r="J406" s="85"/>
      <c r="K406" s="85"/>
      <c r="L406" s="85"/>
    </row>
    <row r="407" spans="2:12" x14ac:dyDescent="0.25">
      <c r="B407" s="84">
        <v>3095</v>
      </c>
      <c r="C407" s="84"/>
      <c r="D407" s="84"/>
      <c r="E407" s="84"/>
      <c r="F407" s="84"/>
      <c r="G407" s="84"/>
      <c r="H407" s="84"/>
      <c r="I407" s="84"/>
      <c r="J407" s="84"/>
      <c r="K407" s="84"/>
      <c r="L407" s="84"/>
    </row>
    <row r="408" spans="2:12" x14ac:dyDescent="0.25">
      <c r="B408" s="85">
        <v>3195</v>
      </c>
      <c r="C408" s="85"/>
      <c r="D408" s="85"/>
      <c r="E408" s="85"/>
      <c r="F408" s="85"/>
      <c r="G408" s="85"/>
      <c r="H408" s="85"/>
      <c r="I408" s="85"/>
      <c r="J408" s="85"/>
      <c r="K408" s="85"/>
      <c r="L408" s="85"/>
    </row>
    <row r="409" spans="2:12" x14ac:dyDescent="0.25">
      <c r="B409" s="84">
        <v>3295</v>
      </c>
      <c r="C409" s="84"/>
      <c r="D409" s="84"/>
      <c r="E409" s="84"/>
      <c r="F409" s="84"/>
      <c r="G409" s="84"/>
      <c r="H409" s="84"/>
      <c r="I409" s="84"/>
      <c r="J409" s="84"/>
      <c r="K409" s="84"/>
      <c r="L409" s="84"/>
    </row>
    <row r="410" spans="2:12" x14ac:dyDescent="0.25">
      <c r="B410" s="85">
        <v>3395</v>
      </c>
      <c r="C410" s="85"/>
      <c r="D410" s="85"/>
      <c r="E410" s="85"/>
      <c r="F410" s="85"/>
      <c r="G410" s="85"/>
      <c r="H410" s="85"/>
      <c r="I410" s="85"/>
      <c r="J410" s="85"/>
      <c r="K410" s="85"/>
      <c r="L410" s="85"/>
    </row>
    <row r="411" spans="2:12" x14ac:dyDescent="0.25">
      <c r="B411" s="84">
        <v>3495</v>
      </c>
      <c r="C411" s="84"/>
      <c r="D411" s="84"/>
      <c r="E411" s="84"/>
      <c r="F411" s="84"/>
      <c r="G411" s="84"/>
      <c r="H411" s="84"/>
      <c r="I411" s="84"/>
      <c r="J411" s="84"/>
      <c r="K411" s="84"/>
      <c r="L411" s="84"/>
    </row>
    <row r="412" spans="2:12" x14ac:dyDescent="0.25">
      <c r="B412" s="85">
        <v>3595</v>
      </c>
      <c r="C412" s="85"/>
      <c r="D412" s="85"/>
      <c r="E412" s="85"/>
      <c r="F412" s="85"/>
      <c r="G412" s="85"/>
      <c r="H412" s="85"/>
      <c r="I412" s="85"/>
      <c r="J412" s="85"/>
      <c r="K412" s="85"/>
      <c r="L412" s="85"/>
    </row>
    <row r="413" spans="2:12" x14ac:dyDescent="0.25">
      <c r="B413" s="84">
        <v>3695</v>
      </c>
      <c r="C413" s="84"/>
      <c r="D413" s="84"/>
      <c r="E413" s="84"/>
      <c r="F413" s="84"/>
      <c r="G413" s="84"/>
      <c r="H413" s="84"/>
      <c r="I413" s="84"/>
      <c r="J413" s="84"/>
      <c r="K413" s="84"/>
      <c r="L413" s="84"/>
    </row>
    <row r="414" spans="2:12" x14ac:dyDescent="0.25">
      <c r="B414" s="85">
        <v>3795</v>
      </c>
      <c r="C414" s="85"/>
      <c r="D414" s="85"/>
      <c r="E414" s="85"/>
      <c r="F414" s="85"/>
      <c r="G414" s="85"/>
      <c r="H414" s="85"/>
      <c r="I414" s="85"/>
      <c r="J414" s="85"/>
      <c r="K414" s="85"/>
      <c r="L414" s="85"/>
    </row>
    <row r="415" spans="2:12" x14ac:dyDescent="0.25">
      <c r="B415" s="84">
        <v>3895</v>
      </c>
      <c r="C415" s="84"/>
      <c r="D415" s="84"/>
      <c r="E415" s="84"/>
      <c r="F415" s="84"/>
      <c r="G415" s="84"/>
      <c r="H415" s="84"/>
      <c r="I415" s="84"/>
      <c r="J415" s="84"/>
      <c r="K415" s="84"/>
      <c r="L415" s="84"/>
    </row>
    <row r="416" spans="2:12" x14ac:dyDescent="0.25">
      <c r="B416" s="85">
        <v>3995</v>
      </c>
      <c r="C416" s="85"/>
      <c r="D416" s="85"/>
      <c r="E416" s="85"/>
      <c r="F416" s="85"/>
      <c r="G416" s="85"/>
      <c r="H416" s="85"/>
      <c r="I416" s="85"/>
      <c r="J416" s="85"/>
      <c r="K416" s="85"/>
      <c r="L416" s="85"/>
    </row>
    <row r="417" spans="2:12" x14ac:dyDescent="0.25">
      <c r="B417" s="84">
        <v>4095</v>
      </c>
      <c r="C417" s="84"/>
      <c r="D417" s="84"/>
      <c r="E417" s="84"/>
      <c r="F417" s="84"/>
      <c r="G417" s="84"/>
      <c r="H417" s="84"/>
      <c r="I417" s="84"/>
      <c r="J417" s="84"/>
      <c r="K417" s="84"/>
      <c r="L417" s="84"/>
    </row>
    <row r="418" spans="2:12" x14ac:dyDescent="0.25">
      <c r="B418" s="85">
        <v>4195</v>
      </c>
      <c r="C418" s="85"/>
      <c r="D418" s="85"/>
      <c r="E418" s="85"/>
      <c r="F418" s="85"/>
      <c r="G418" s="85"/>
      <c r="H418" s="85"/>
      <c r="I418" s="85"/>
      <c r="J418" s="85"/>
      <c r="K418" s="85"/>
      <c r="L418" s="85"/>
    </row>
    <row r="419" spans="2:12" x14ac:dyDescent="0.25">
      <c r="B419" s="84">
        <v>4295</v>
      </c>
      <c r="C419" s="84"/>
      <c r="D419" s="84"/>
      <c r="E419" s="84"/>
      <c r="F419" s="84"/>
      <c r="G419" s="84"/>
      <c r="H419" s="84"/>
      <c r="I419" s="84"/>
      <c r="J419" s="84"/>
      <c r="K419" s="84"/>
      <c r="L419" s="84"/>
    </row>
    <row r="420" spans="2:12" x14ac:dyDescent="0.25">
      <c r="B420" s="85">
        <v>4395</v>
      </c>
      <c r="C420" s="85"/>
      <c r="D420" s="85"/>
      <c r="E420" s="85"/>
      <c r="F420" s="85"/>
      <c r="G420" s="85"/>
      <c r="H420" s="85"/>
      <c r="I420" s="85"/>
      <c r="J420" s="85"/>
      <c r="K420" s="85"/>
      <c r="L420" s="85"/>
    </row>
    <row r="421" spans="2:12" x14ac:dyDescent="0.25">
      <c r="B421" s="84">
        <v>4495</v>
      </c>
      <c r="C421" s="84"/>
      <c r="D421" s="84"/>
      <c r="E421" s="84"/>
      <c r="F421" s="84"/>
      <c r="G421" s="84"/>
      <c r="H421" s="84"/>
      <c r="I421" s="84"/>
      <c r="J421" s="84"/>
      <c r="K421" s="84"/>
      <c r="L421" s="84"/>
    </row>
    <row r="422" spans="2:12" x14ac:dyDescent="0.25">
      <c r="B422" s="85">
        <v>4595</v>
      </c>
      <c r="C422" s="85"/>
      <c r="D422" s="85"/>
      <c r="E422" s="85"/>
      <c r="F422" s="85"/>
      <c r="G422" s="85"/>
      <c r="H422" s="85"/>
      <c r="I422" s="85"/>
      <c r="J422" s="85"/>
      <c r="K422" s="85"/>
      <c r="L422" s="85"/>
    </row>
    <row r="423" spans="2:12" x14ac:dyDescent="0.25">
      <c r="B423" s="84">
        <v>4695</v>
      </c>
      <c r="C423" s="84"/>
      <c r="D423" s="84"/>
      <c r="E423" s="84"/>
      <c r="F423" s="84"/>
      <c r="G423" s="84"/>
      <c r="H423" s="84"/>
      <c r="I423" s="84"/>
      <c r="J423" s="84"/>
      <c r="K423" s="84"/>
      <c r="L423" s="84"/>
    </row>
    <row r="424" spans="2:12" x14ac:dyDescent="0.25">
      <c r="B424" s="85">
        <v>4795</v>
      </c>
      <c r="C424" s="85"/>
      <c r="D424" s="85"/>
      <c r="E424" s="85"/>
      <c r="F424" s="85"/>
      <c r="G424" s="85"/>
      <c r="H424" s="85"/>
      <c r="I424" s="85"/>
      <c r="J424" s="85"/>
      <c r="K424" s="85"/>
      <c r="L424" s="85"/>
    </row>
    <row r="425" spans="2:12" x14ac:dyDescent="0.25">
      <c r="B425" s="84">
        <v>4895</v>
      </c>
      <c r="C425" s="84"/>
      <c r="D425" s="84"/>
      <c r="E425" s="84"/>
      <c r="F425" s="84"/>
      <c r="G425" s="84"/>
      <c r="H425" s="84"/>
      <c r="I425" s="84"/>
      <c r="J425" s="84"/>
      <c r="K425" s="84"/>
      <c r="L425" s="84"/>
    </row>
    <row r="426" spans="2:12" x14ac:dyDescent="0.25">
      <c r="B426" s="85">
        <v>4995</v>
      </c>
      <c r="C426" s="85"/>
      <c r="D426" s="85"/>
      <c r="E426" s="85"/>
      <c r="F426" s="85"/>
      <c r="G426" s="85"/>
      <c r="H426" s="85"/>
      <c r="I426" s="85"/>
      <c r="J426" s="85"/>
      <c r="K426" s="85"/>
      <c r="L426" s="85"/>
    </row>
    <row r="427" spans="2:12" x14ac:dyDescent="0.25">
      <c r="B427" s="84">
        <v>5095</v>
      </c>
      <c r="C427" s="84"/>
      <c r="D427" s="84"/>
      <c r="E427" s="84"/>
      <c r="F427" s="84"/>
      <c r="G427" s="84"/>
      <c r="H427" s="84"/>
      <c r="I427" s="84"/>
      <c r="J427" s="84"/>
      <c r="K427" s="84"/>
      <c r="L427" s="84"/>
    </row>
    <row r="428" spans="2:12" x14ac:dyDescent="0.25">
      <c r="B428" s="85">
        <v>5195</v>
      </c>
      <c r="C428" s="85"/>
      <c r="D428" s="85"/>
      <c r="E428" s="85"/>
      <c r="F428" s="85"/>
      <c r="G428" s="85"/>
      <c r="H428" s="85"/>
      <c r="I428" s="85"/>
      <c r="J428" s="85"/>
      <c r="K428" s="85"/>
      <c r="L428" s="85"/>
    </row>
    <row r="429" spans="2:12" x14ac:dyDescent="0.25">
      <c r="B429" s="84">
        <v>5295</v>
      </c>
      <c r="C429" s="84"/>
      <c r="D429" s="84"/>
      <c r="E429" s="84"/>
      <c r="F429" s="84"/>
      <c r="G429" s="84"/>
      <c r="H429" s="84"/>
      <c r="I429" s="84"/>
      <c r="J429" s="84"/>
      <c r="K429" s="84"/>
      <c r="L429" s="84"/>
    </row>
    <row r="430" spans="2:12" x14ac:dyDescent="0.25">
      <c r="B430" s="85">
        <v>5395</v>
      </c>
      <c r="C430" s="85"/>
      <c r="D430" s="85"/>
      <c r="E430" s="85"/>
      <c r="F430" s="85"/>
      <c r="G430" s="85"/>
      <c r="H430" s="85"/>
      <c r="I430" s="85"/>
      <c r="J430" s="85"/>
      <c r="K430" s="85"/>
      <c r="L430" s="85"/>
    </row>
    <row r="431" spans="2:12" x14ac:dyDescent="0.25">
      <c r="B431" s="84">
        <v>5495</v>
      </c>
      <c r="C431" s="84"/>
      <c r="D431" s="84"/>
      <c r="E431" s="84"/>
      <c r="F431" s="84"/>
      <c r="G431" s="84"/>
      <c r="H431" s="84"/>
      <c r="I431" s="84"/>
      <c r="J431" s="84"/>
      <c r="K431" s="84"/>
      <c r="L431" s="84"/>
    </row>
    <row r="432" spans="2:12" x14ac:dyDescent="0.25">
      <c r="B432" s="85">
        <v>5595</v>
      </c>
      <c r="C432" s="85"/>
      <c r="D432" s="85"/>
      <c r="E432" s="85"/>
      <c r="F432" s="85"/>
      <c r="G432" s="85"/>
      <c r="H432" s="85"/>
      <c r="I432" s="85"/>
      <c r="J432" s="85"/>
      <c r="K432" s="85"/>
      <c r="L432" s="85"/>
    </row>
    <row r="433" spans="2:12" x14ac:dyDescent="0.25">
      <c r="B433" s="84">
        <v>5695</v>
      </c>
      <c r="C433" s="84"/>
      <c r="D433" s="84"/>
      <c r="E433" s="84"/>
      <c r="F433" s="84"/>
      <c r="G433" s="84"/>
      <c r="H433" s="84"/>
      <c r="I433" s="84"/>
      <c r="J433" s="84"/>
      <c r="K433" s="84"/>
      <c r="L433" s="84"/>
    </row>
    <row r="434" spans="2:12" x14ac:dyDescent="0.25">
      <c r="B434" s="85">
        <v>5795</v>
      </c>
      <c r="C434" s="85"/>
      <c r="D434" s="85"/>
      <c r="E434" s="85"/>
      <c r="F434" s="85"/>
      <c r="G434" s="85"/>
      <c r="H434" s="85"/>
      <c r="I434" s="85"/>
      <c r="J434" s="85"/>
      <c r="K434" s="85"/>
      <c r="L434" s="85"/>
    </row>
    <row r="435" spans="2:12" x14ac:dyDescent="0.25">
      <c r="B435" s="84">
        <v>5895</v>
      </c>
      <c r="C435" s="84"/>
      <c r="D435" s="84"/>
      <c r="E435" s="84"/>
      <c r="F435" s="84"/>
      <c r="G435" s="84"/>
      <c r="H435" s="84"/>
      <c r="I435" s="84"/>
      <c r="J435" s="84"/>
      <c r="K435" s="84"/>
      <c r="L435" s="84"/>
    </row>
    <row r="436" spans="2:12" x14ac:dyDescent="0.25">
      <c r="B436" s="85">
        <v>5995</v>
      </c>
      <c r="C436" s="85"/>
      <c r="D436" s="85"/>
      <c r="E436" s="85"/>
      <c r="F436" s="85"/>
      <c r="G436" s="85"/>
      <c r="H436" s="85"/>
      <c r="I436" s="85"/>
      <c r="J436" s="85"/>
      <c r="K436" s="85"/>
      <c r="L436" s="85"/>
    </row>
    <row r="437" spans="2:12" x14ac:dyDescent="0.25">
      <c r="B437" s="84">
        <v>6095</v>
      </c>
      <c r="C437" s="84"/>
      <c r="D437" s="84"/>
      <c r="E437" s="84"/>
      <c r="F437" s="84"/>
      <c r="G437" s="84"/>
      <c r="H437" s="84"/>
      <c r="I437" s="84"/>
      <c r="J437" s="84"/>
      <c r="K437" s="84"/>
      <c r="L437" s="84"/>
    </row>
    <row r="438" spans="2:12" x14ac:dyDescent="0.25">
      <c r="B438" s="85">
        <v>6195</v>
      </c>
      <c r="C438" s="85"/>
      <c r="D438" s="85"/>
      <c r="E438" s="85"/>
      <c r="F438" s="85"/>
      <c r="G438" s="85"/>
      <c r="H438" s="85"/>
      <c r="I438" s="85"/>
      <c r="J438" s="85"/>
      <c r="K438" s="85"/>
      <c r="L438" s="85"/>
    </row>
    <row r="439" spans="2:12" x14ac:dyDescent="0.25">
      <c r="B439" s="84">
        <v>6295</v>
      </c>
      <c r="C439" s="84"/>
      <c r="D439" s="84"/>
      <c r="E439" s="84"/>
      <c r="F439" s="84"/>
      <c r="G439" s="84"/>
      <c r="H439" s="84"/>
      <c r="I439" s="84"/>
      <c r="J439" s="84"/>
      <c r="K439" s="84"/>
      <c r="L439" s="84"/>
    </row>
    <row r="440" spans="2:12" x14ac:dyDescent="0.25">
      <c r="B440" s="85">
        <v>6395</v>
      </c>
      <c r="C440" s="85"/>
      <c r="D440" s="85"/>
      <c r="E440" s="85"/>
      <c r="F440" s="85"/>
      <c r="G440" s="85"/>
      <c r="H440" s="85"/>
      <c r="I440" s="85"/>
      <c r="J440" s="85"/>
      <c r="K440" s="85"/>
      <c r="L440" s="85"/>
    </row>
    <row r="441" spans="2:12" x14ac:dyDescent="0.25">
      <c r="B441" s="84">
        <v>6495</v>
      </c>
      <c r="C441" s="84"/>
      <c r="D441" s="84"/>
      <c r="E441" s="84"/>
      <c r="F441" s="84"/>
      <c r="G441" s="84"/>
      <c r="H441" s="84"/>
      <c r="I441" s="84"/>
      <c r="J441" s="84"/>
      <c r="K441" s="84"/>
      <c r="L441" s="84"/>
    </row>
    <row r="442" spans="2:12" x14ac:dyDescent="0.25">
      <c r="B442" s="85">
        <v>6595</v>
      </c>
      <c r="C442" s="85"/>
      <c r="D442" s="85"/>
      <c r="E442" s="85"/>
      <c r="F442" s="85"/>
      <c r="G442" s="85"/>
      <c r="H442" s="85"/>
      <c r="I442" s="85"/>
      <c r="J442" s="85"/>
      <c r="K442" s="85"/>
      <c r="L442" s="85"/>
    </row>
    <row r="443" spans="2:12" x14ac:dyDescent="0.25">
      <c r="B443" s="84">
        <v>6695</v>
      </c>
      <c r="C443" s="84"/>
      <c r="D443" s="84"/>
      <c r="E443" s="84"/>
      <c r="F443" s="84"/>
      <c r="G443" s="84"/>
      <c r="H443" s="84"/>
      <c r="I443" s="84"/>
      <c r="J443" s="84"/>
      <c r="K443" s="84"/>
      <c r="L443" s="84"/>
    </row>
    <row r="444" spans="2:12" x14ac:dyDescent="0.25">
      <c r="B444" s="85">
        <v>6795</v>
      </c>
      <c r="C444" s="85"/>
      <c r="D444" s="85"/>
      <c r="E444" s="85"/>
      <c r="F444" s="85"/>
      <c r="G444" s="85"/>
      <c r="H444" s="85"/>
      <c r="I444" s="85"/>
      <c r="J444" s="85"/>
      <c r="K444" s="85"/>
      <c r="L444" s="85"/>
    </row>
    <row r="445" spans="2:12" x14ac:dyDescent="0.25">
      <c r="B445" s="84">
        <v>6895</v>
      </c>
      <c r="C445" s="84"/>
      <c r="D445" s="84"/>
      <c r="E445" s="84"/>
      <c r="F445" s="84"/>
      <c r="G445" s="84"/>
      <c r="H445" s="84"/>
      <c r="I445" s="84"/>
      <c r="J445" s="84"/>
      <c r="K445" s="84"/>
      <c r="L445" s="84"/>
    </row>
    <row r="446" spans="2:12" x14ac:dyDescent="0.25">
      <c r="B446" s="85">
        <v>6995</v>
      </c>
      <c r="C446" s="85"/>
      <c r="D446" s="85"/>
      <c r="E446" s="85"/>
      <c r="F446" s="85"/>
      <c r="G446" s="85"/>
      <c r="H446" s="85"/>
      <c r="I446" s="85"/>
      <c r="J446" s="85"/>
      <c r="K446" s="85"/>
      <c r="L446" s="85"/>
    </row>
    <row r="447" spans="2:12" x14ac:dyDescent="0.25">
      <c r="B447" s="84">
        <v>7095</v>
      </c>
      <c r="C447" s="84"/>
      <c r="D447" s="84"/>
      <c r="E447" s="84"/>
      <c r="F447" s="84"/>
      <c r="G447" s="84"/>
      <c r="H447" s="84"/>
      <c r="I447" s="84"/>
      <c r="J447" s="84"/>
      <c r="K447" s="84"/>
      <c r="L447" s="84"/>
    </row>
    <row r="448" spans="2:12" x14ac:dyDescent="0.25">
      <c r="B448" s="85">
        <v>7195</v>
      </c>
      <c r="C448" s="85"/>
      <c r="D448" s="85"/>
      <c r="E448" s="85"/>
      <c r="F448" s="85"/>
      <c r="G448" s="85"/>
      <c r="H448" s="85"/>
      <c r="I448" s="85"/>
      <c r="J448" s="85"/>
      <c r="K448" s="85"/>
      <c r="L448" s="85"/>
    </row>
    <row r="449" spans="2:12" x14ac:dyDescent="0.25">
      <c r="B449" s="84">
        <v>7295</v>
      </c>
      <c r="C449" s="84"/>
      <c r="D449" s="84"/>
      <c r="E449" s="84"/>
      <c r="F449" s="84"/>
      <c r="G449" s="84"/>
      <c r="H449" s="84"/>
      <c r="I449" s="84"/>
      <c r="J449" s="84"/>
      <c r="K449" s="84"/>
      <c r="L449" s="84"/>
    </row>
    <row r="450" spans="2:12" x14ac:dyDescent="0.25">
      <c r="B450" s="85">
        <v>7395</v>
      </c>
      <c r="C450" s="85"/>
      <c r="D450" s="85"/>
      <c r="E450" s="85"/>
      <c r="F450" s="85"/>
      <c r="G450" s="85"/>
      <c r="H450" s="85"/>
      <c r="I450" s="85"/>
      <c r="J450" s="85"/>
      <c r="K450" s="85"/>
      <c r="L450" s="85"/>
    </row>
    <row r="451" spans="2:12" x14ac:dyDescent="0.25">
      <c r="B451" s="84">
        <v>7495</v>
      </c>
      <c r="C451" s="84"/>
      <c r="D451" s="84"/>
      <c r="E451" s="84"/>
      <c r="F451" s="84"/>
      <c r="G451" s="84"/>
      <c r="H451" s="84"/>
      <c r="I451" s="84"/>
      <c r="J451" s="84"/>
      <c r="K451" s="84"/>
      <c r="L451" s="84"/>
    </row>
    <row r="452" spans="2:12" x14ac:dyDescent="0.25">
      <c r="B452" s="85">
        <v>7595</v>
      </c>
      <c r="C452" s="85"/>
      <c r="D452" s="85"/>
      <c r="E452" s="85"/>
      <c r="F452" s="85"/>
      <c r="G452" s="85"/>
      <c r="H452" s="85"/>
      <c r="I452" s="85"/>
      <c r="J452" s="85"/>
      <c r="K452" s="85"/>
      <c r="L452" s="85"/>
    </row>
    <row r="453" spans="2:12" x14ac:dyDescent="0.25">
      <c r="B453" s="84">
        <v>7695</v>
      </c>
      <c r="C453" s="84"/>
      <c r="D453" s="84"/>
      <c r="E453" s="84"/>
      <c r="F453" s="84"/>
      <c r="G453" s="84"/>
      <c r="H453" s="84"/>
      <c r="I453" s="84"/>
      <c r="J453" s="84"/>
      <c r="K453" s="84"/>
      <c r="L453" s="84"/>
    </row>
    <row r="454" spans="2:12" x14ac:dyDescent="0.25">
      <c r="B454" s="85">
        <v>7795</v>
      </c>
      <c r="C454" s="85"/>
      <c r="D454" s="85"/>
      <c r="E454" s="85"/>
      <c r="F454" s="85"/>
      <c r="G454" s="85"/>
      <c r="H454" s="85"/>
      <c r="I454" s="85"/>
      <c r="J454" s="85"/>
      <c r="K454" s="85"/>
      <c r="L454" s="85"/>
    </row>
    <row r="455" spans="2:12" x14ac:dyDescent="0.25">
      <c r="B455" s="84">
        <v>7895</v>
      </c>
      <c r="C455" s="84"/>
      <c r="D455" s="84"/>
      <c r="E455" s="84"/>
      <c r="F455" s="84"/>
      <c r="G455" s="84"/>
      <c r="H455" s="84"/>
      <c r="I455" s="84"/>
      <c r="J455" s="84"/>
      <c r="K455" s="84"/>
      <c r="L455" s="84"/>
    </row>
    <row r="456" spans="2:12" x14ac:dyDescent="0.25">
      <c r="B456" s="85">
        <v>7995</v>
      </c>
      <c r="C456" s="85"/>
      <c r="D456" s="85"/>
      <c r="E456" s="85"/>
      <c r="F456" s="85"/>
      <c r="G456" s="85"/>
      <c r="H456" s="85"/>
      <c r="I456" s="85"/>
      <c r="J456" s="85"/>
      <c r="K456" s="85"/>
      <c r="L456" s="85"/>
    </row>
    <row r="457" spans="2:12" x14ac:dyDescent="0.25">
      <c r="B457" s="84">
        <v>8095</v>
      </c>
      <c r="C457" s="84"/>
      <c r="D457" s="84"/>
      <c r="E457" s="84"/>
      <c r="F457" s="84"/>
      <c r="G457" s="84"/>
      <c r="H457" s="84"/>
      <c r="I457" s="84"/>
      <c r="J457" s="84"/>
      <c r="K457" s="84"/>
      <c r="L457" s="84"/>
    </row>
    <row r="458" spans="2:12" x14ac:dyDescent="0.25">
      <c r="B458" s="85">
        <v>8195</v>
      </c>
      <c r="C458" s="85"/>
      <c r="D458" s="85"/>
      <c r="E458" s="85"/>
      <c r="F458" s="85"/>
      <c r="G458" s="85"/>
      <c r="H458" s="85"/>
      <c r="I458" s="85"/>
      <c r="J458" s="85"/>
      <c r="K458" s="85"/>
      <c r="L458" s="85"/>
    </row>
    <row r="459" spans="2:12" x14ac:dyDescent="0.25">
      <c r="B459" s="84">
        <v>8295</v>
      </c>
      <c r="C459" s="84"/>
      <c r="D459" s="84"/>
      <c r="E459" s="84"/>
      <c r="F459" s="84"/>
      <c r="G459" s="84"/>
      <c r="H459" s="84"/>
      <c r="I459" s="84"/>
      <c r="J459" s="84"/>
      <c r="K459" s="84"/>
      <c r="L459" s="84"/>
    </row>
    <row r="460" spans="2:12" x14ac:dyDescent="0.25">
      <c r="B460" s="85">
        <v>8395</v>
      </c>
      <c r="C460" s="85"/>
      <c r="D460" s="85"/>
      <c r="E460" s="85"/>
      <c r="F460" s="85"/>
      <c r="G460" s="85"/>
      <c r="H460" s="85"/>
      <c r="I460" s="85"/>
      <c r="J460" s="85"/>
      <c r="K460" s="85"/>
      <c r="L460" s="85"/>
    </row>
    <row r="461" spans="2:12" x14ac:dyDescent="0.25">
      <c r="B461" s="84">
        <v>8495</v>
      </c>
      <c r="C461" s="84"/>
      <c r="D461" s="84"/>
      <c r="E461" s="84"/>
      <c r="F461" s="84"/>
      <c r="G461" s="84"/>
      <c r="H461" s="84"/>
      <c r="I461" s="84"/>
      <c r="J461" s="84"/>
      <c r="K461" s="84"/>
      <c r="L461" s="84"/>
    </row>
    <row r="462" spans="2:12" x14ac:dyDescent="0.25">
      <c r="B462" s="85">
        <v>8595</v>
      </c>
      <c r="C462" s="85"/>
      <c r="D462" s="85"/>
      <c r="E462" s="85"/>
      <c r="F462" s="85"/>
      <c r="G462" s="85"/>
      <c r="H462" s="85"/>
      <c r="I462" s="85"/>
      <c r="J462" s="85"/>
      <c r="K462" s="85"/>
      <c r="L462" s="85"/>
    </row>
    <row r="463" spans="2:12" x14ac:dyDescent="0.25">
      <c r="B463" s="84">
        <v>8695</v>
      </c>
      <c r="C463" s="84"/>
      <c r="D463" s="84"/>
      <c r="E463" s="84"/>
      <c r="F463" s="84"/>
      <c r="G463" s="84"/>
      <c r="H463" s="84"/>
      <c r="I463" s="84"/>
      <c r="J463" s="84"/>
      <c r="K463" s="84"/>
      <c r="L463" s="84"/>
    </row>
    <row r="464" spans="2:12" x14ac:dyDescent="0.25">
      <c r="B464" s="85">
        <v>8795</v>
      </c>
      <c r="C464" s="85"/>
      <c r="D464" s="85"/>
      <c r="E464" s="85"/>
      <c r="F464" s="85"/>
      <c r="G464" s="85"/>
      <c r="H464" s="85"/>
      <c r="I464" s="85"/>
      <c r="J464" s="85"/>
      <c r="K464" s="85"/>
      <c r="L464" s="85"/>
    </row>
    <row r="465" spans="2:12" x14ac:dyDescent="0.25">
      <c r="B465" s="84">
        <v>8895</v>
      </c>
      <c r="C465" s="84"/>
      <c r="D465" s="84"/>
      <c r="E465" s="84"/>
      <c r="F465" s="84"/>
      <c r="G465" s="84"/>
      <c r="H465" s="84"/>
      <c r="I465" s="84"/>
      <c r="J465" s="84"/>
      <c r="K465" s="84"/>
      <c r="L465" s="84"/>
    </row>
    <row r="466" spans="2:12" x14ac:dyDescent="0.25">
      <c r="B466" s="85">
        <v>8995</v>
      </c>
      <c r="C466" s="85"/>
      <c r="D466" s="85"/>
      <c r="E466" s="85"/>
      <c r="F466" s="85"/>
      <c r="G466" s="85"/>
      <c r="H466" s="85"/>
      <c r="I466" s="85"/>
      <c r="J466" s="85"/>
      <c r="K466" s="85"/>
      <c r="L466" s="85"/>
    </row>
    <row r="467" spans="2:12" x14ac:dyDescent="0.25">
      <c r="B467" s="84">
        <v>9095</v>
      </c>
      <c r="C467" s="84"/>
      <c r="D467" s="84"/>
      <c r="E467" s="84"/>
      <c r="F467" s="84"/>
      <c r="G467" s="84"/>
      <c r="H467" s="84"/>
      <c r="I467" s="84"/>
      <c r="J467" s="84"/>
      <c r="K467" s="84"/>
      <c r="L467" s="84"/>
    </row>
    <row r="468" spans="2:12" x14ac:dyDescent="0.25">
      <c r="B468" s="85">
        <v>9195</v>
      </c>
      <c r="C468" s="85"/>
      <c r="D468" s="85"/>
      <c r="E468" s="85"/>
      <c r="F468" s="85"/>
      <c r="G468" s="85"/>
      <c r="H468" s="85"/>
      <c r="I468" s="85"/>
      <c r="J468" s="85"/>
      <c r="K468" s="85"/>
      <c r="L468" s="85"/>
    </row>
    <row r="469" spans="2:12" x14ac:dyDescent="0.25">
      <c r="B469" s="84">
        <v>9295</v>
      </c>
      <c r="C469" s="84"/>
      <c r="D469" s="84"/>
      <c r="E469" s="84"/>
      <c r="F469" s="84"/>
      <c r="G469" s="84"/>
      <c r="H469" s="84"/>
      <c r="I469" s="84"/>
      <c r="J469" s="84"/>
      <c r="K469" s="84"/>
      <c r="L469" s="84"/>
    </row>
    <row r="470" spans="2:12" x14ac:dyDescent="0.25">
      <c r="B470" s="85">
        <v>9395</v>
      </c>
      <c r="C470" s="85"/>
      <c r="D470" s="85"/>
      <c r="E470" s="85"/>
      <c r="F470" s="85"/>
      <c r="G470" s="85"/>
      <c r="H470" s="85"/>
      <c r="I470" s="85"/>
      <c r="J470" s="85"/>
      <c r="K470" s="85"/>
      <c r="L470" s="85"/>
    </row>
    <row r="471" spans="2:12" x14ac:dyDescent="0.25">
      <c r="B471" s="84">
        <v>9495</v>
      </c>
      <c r="C471" s="84"/>
      <c r="D471" s="84"/>
      <c r="E471" s="84"/>
      <c r="F471" s="84"/>
      <c r="G471" s="84"/>
      <c r="H471" s="84"/>
      <c r="I471" s="84"/>
      <c r="J471" s="84"/>
      <c r="K471" s="84"/>
      <c r="L471" s="84"/>
    </row>
    <row r="472" spans="2:12" x14ac:dyDescent="0.25">
      <c r="B472" s="85">
        <v>9595</v>
      </c>
      <c r="C472" s="85"/>
      <c r="D472" s="85"/>
      <c r="E472" s="85"/>
      <c r="F472" s="85"/>
      <c r="G472" s="85"/>
      <c r="H472" s="85"/>
      <c r="I472" s="85"/>
      <c r="J472" s="85"/>
      <c r="K472" s="85"/>
      <c r="L472" s="85"/>
    </row>
    <row r="473" spans="2:12" x14ac:dyDescent="0.25">
      <c r="B473" s="84">
        <v>9695</v>
      </c>
      <c r="C473" s="84"/>
      <c r="D473" s="84"/>
      <c r="E473" s="84"/>
      <c r="F473" s="84"/>
      <c r="G473" s="84"/>
      <c r="H473" s="84"/>
      <c r="I473" s="84"/>
      <c r="J473" s="84"/>
      <c r="K473" s="84"/>
      <c r="L473" s="84"/>
    </row>
    <row r="474" spans="2:12" x14ac:dyDescent="0.25">
      <c r="B474" s="85">
        <v>9795</v>
      </c>
      <c r="C474" s="85"/>
      <c r="D474" s="85"/>
      <c r="E474" s="85"/>
      <c r="F474" s="85"/>
      <c r="G474" s="85"/>
      <c r="H474" s="85"/>
      <c r="I474" s="85"/>
      <c r="J474" s="85"/>
      <c r="K474" s="85"/>
      <c r="L474" s="85"/>
    </row>
    <row r="475" spans="2:12" x14ac:dyDescent="0.25">
      <c r="B475" s="84">
        <v>9895</v>
      </c>
      <c r="C475" s="84"/>
      <c r="D475" s="84"/>
      <c r="E475" s="84"/>
      <c r="F475" s="84"/>
      <c r="G475" s="84"/>
      <c r="H475" s="84"/>
      <c r="I475" s="84"/>
      <c r="J475" s="84"/>
      <c r="K475" s="84"/>
      <c r="L475" s="84"/>
    </row>
    <row r="476" spans="2:12" x14ac:dyDescent="0.25">
      <c r="B476" s="85">
        <v>9995</v>
      </c>
      <c r="C476" s="85"/>
      <c r="D476" s="85"/>
      <c r="E476" s="85"/>
      <c r="F476" s="85"/>
      <c r="G476" s="85"/>
      <c r="H476" s="85"/>
      <c r="I476" s="85"/>
      <c r="J476" s="85"/>
      <c r="K476" s="85"/>
      <c r="L476" s="85"/>
    </row>
    <row r="477" spans="2:12" x14ac:dyDescent="0.25">
      <c r="B477" s="84">
        <v>10095</v>
      </c>
      <c r="C477" s="84"/>
      <c r="D477" s="84"/>
      <c r="E477" s="84"/>
      <c r="F477" s="84"/>
      <c r="G477" s="84"/>
      <c r="H477" s="84"/>
      <c r="I477" s="84"/>
      <c r="J477" s="84"/>
      <c r="K477" s="84"/>
      <c r="L477" s="84"/>
    </row>
    <row r="478" spans="2:12" x14ac:dyDescent="0.25">
      <c r="B478" s="85">
        <v>10195</v>
      </c>
      <c r="C478" s="85"/>
      <c r="D478" s="85"/>
      <c r="E478" s="85"/>
      <c r="F478" s="85"/>
      <c r="G478" s="85"/>
      <c r="H478" s="85"/>
      <c r="I478" s="85"/>
      <c r="J478" s="85"/>
      <c r="K478" s="85"/>
      <c r="L478" s="85"/>
    </row>
    <row r="479" spans="2:12" x14ac:dyDescent="0.25">
      <c r="B479" s="84">
        <v>10295</v>
      </c>
      <c r="C479" s="84"/>
      <c r="D479" s="84"/>
      <c r="E479" s="84"/>
      <c r="F479" s="84"/>
      <c r="G479" s="84"/>
      <c r="H479" s="84"/>
      <c r="I479" s="84"/>
      <c r="J479" s="84"/>
      <c r="K479" s="84"/>
      <c r="L479" s="84"/>
    </row>
    <row r="480" spans="2:12" x14ac:dyDescent="0.25">
      <c r="B480" s="85">
        <v>10395</v>
      </c>
      <c r="C480" s="85"/>
      <c r="D480" s="85"/>
      <c r="E480" s="85"/>
      <c r="F480" s="85"/>
      <c r="G480" s="85"/>
      <c r="H480" s="85"/>
      <c r="I480" s="85"/>
      <c r="J480" s="85"/>
      <c r="K480" s="85"/>
      <c r="L480" s="85"/>
    </row>
    <row r="481" spans="2:12" x14ac:dyDescent="0.25">
      <c r="B481" s="84">
        <v>10495</v>
      </c>
      <c r="C481" s="84"/>
      <c r="D481" s="84"/>
      <c r="E481" s="84"/>
      <c r="F481" s="84"/>
      <c r="G481" s="84"/>
      <c r="H481" s="84"/>
      <c r="I481" s="84"/>
      <c r="J481" s="84"/>
      <c r="K481" s="84"/>
      <c r="L481" s="84"/>
    </row>
    <row r="482" spans="2:12" x14ac:dyDescent="0.25">
      <c r="B482" s="85">
        <v>10595</v>
      </c>
      <c r="C482" s="85"/>
      <c r="D482" s="85"/>
      <c r="E482" s="85"/>
      <c r="F482" s="85"/>
      <c r="G482" s="85"/>
      <c r="H482" s="85"/>
      <c r="I482" s="85"/>
      <c r="J482" s="85"/>
      <c r="K482" s="85"/>
      <c r="L482" s="85"/>
    </row>
    <row r="483" spans="2:12" x14ac:dyDescent="0.25">
      <c r="B483" s="84">
        <v>10695</v>
      </c>
      <c r="C483" s="84"/>
      <c r="D483" s="84"/>
      <c r="E483" s="84"/>
      <c r="F483" s="84"/>
      <c r="G483" s="84"/>
      <c r="H483" s="84"/>
      <c r="I483" s="84"/>
      <c r="J483" s="84"/>
      <c r="K483" s="84"/>
      <c r="L483" s="84"/>
    </row>
    <row r="484" spans="2:12" x14ac:dyDescent="0.25">
      <c r="B484" s="85">
        <v>10795</v>
      </c>
      <c r="C484" s="85"/>
      <c r="D484" s="85"/>
      <c r="E484" s="85"/>
      <c r="F484" s="85"/>
      <c r="G484" s="85"/>
      <c r="H484" s="85"/>
      <c r="I484" s="85"/>
      <c r="J484" s="85"/>
      <c r="K484" s="85"/>
      <c r="L484" s="85"/>
    </row>
    <row r="485" spans="2:12" x14ac:dyDescent="0.25">
      <c r="B485" s="84">
        <v>10895</v>
      </c>
      <c r="C485" s="84"/>
      <c r="D485" s="84"/>
      <c r="E485" s="84"/>
      <c r="F485" s="84"/>
      <c r="G485" s="84"/>
      <c r="H485" s="84"/>
      <c r="I485" s="84"/>
      <c r="J485" s="84"/>
      <c r="K485" s="84"/>
      <c r="L485" s="84"/>
    </row>
    <row r="486" spans="2:12" x14ac:dyDescent="0.25">
      <c r="B486" s="85">
        <v>10995</v>
      </c>
      <c r="C486" s="85"/>
      <c r="D486" s="85"/>
      <c r="E486" s="85"/>
      <c r="F486" s="85"/>
      <c r="G486" s="85"/>
      <c r="H486" s="85"/>
      <c r="I486" s="85"/>
      <c r="J486" s="85"/>
      <c r="K486" s="85"/>
      <c r="L486" s="85"/>
    </row>
    <row r="487" spans="2:12" x14ac:dyDescent="0.25">
      <c r="B487" s="84">
        <v>11095</v>
      </c>
      <c r="C487" s="84"/>
      <c r="D487" s="84"/>
      <c r="E487" s="84"/>
      <c r="F487" s="84"/>
      <c r="G487" s="84"/>
      <c r="H487" s="84"/>
      <c r="I487" s="84"/>
      <c r="J487" s="84"/>
      <c r="K487" s="84"/>
      <c r="L487" s="84"/>
    </row>
    <row r="488" spans="2:12" x14ac:dyDescent="0.25">
      <c r="B488" s="85">
        <v>11195</v>
      </c>
      <c r="C488" s="85"/>
      <c r="D488" s="85"/>
      <c r="E488" s="85"/>
      <c r="F488" s="85"/>
      <c r="G488" s="85"/>
      <c r="H488" s="85"/>
      <c r="I488" s="85"/>
      <c r="J488" s="85"/>
      <c r="K488" s="85"/>
      <c r="L488" s="85"/>
    </row>
    <row r="489" spans="2:12" x14ac:dyDescent="0.25">
      <c r="B489" s="84">
        <v>11295</v>
      </c>
      <c r="C489" s="84"/>
      <c r="D489" s="84"/>
      <c r="E489" s="84"/>
      <c r="F489" s="84"/>
      <c r="G489" s="84"/>
      <c r="H489" s="84"/>
      <c r="I489" s="84"/>
      <c r="J489" s="84"/>
      <c r="K489" s="84"/>
      <c r="L489" s="84"/>
    </row>
    <row r="490" spans="2:12" x14ac:dyDescent="0.25">
      <c r="B490" s="85">
        <v>11395</v>
      </c>
      <c r="C490" s="85"/>
      <c r="D490" s="85"/>
      <c r="E490" s="85"/>
      <c r="F490" s="85"/>
      <c r="G490" s="85"/>
      <c r="H490" s="85"/>
      <c r="I490" s="85"/>
      <c r="J490" s="85"/>
      <c r="K490" s="85"/>
      <c r="L490" s="85"/>
    </row>
    <row r="491" spans="2:12" x14ac:dyDescent="0.25">
      <c r="B491" s="84">
        <v>11495</v>
      </c>
      <c r="C491" s="84"/>
      <c r="D491" s="84"/>
      <c r="E491" s="84"/>
      <c r="F491" s="84"/>
      <c r="G491" s="84"/>
      <c r="H491" s="84"/>
      <c r="I491" s="84"/>
      <c r="J491" s="84"/>
      <c r="K491" s="84"/>
      <c r="L491" s="84"/>
    </row>
    <row r="492" spans="2:12" x14ac:dyDescent="0.25">
      <c r="B492" s="85">
        <v>11595</v>
      </c>
      <c r="C492" s="85"/>
      <c r="D492" s="85"/>
      <c r="E492" s="85"/>
      <c r="F492" s="85"/>
      <c r="G492" s="85"/>
      <c r="H492" s="85"/>
      <c r="I492" s="85"/>
      <c r="J492" s="85"/>
      <c r="K492" s="85"/>
      <c r="L492" s="85"/>
    </row>
    <row r="493" spans="2:12" x14ac:dyDescent="0.25">
      <c r="B493" s="84">
        <v>11695</v>
      </c>
      <c r="C493" s="84"/>
      <c r="D493" s="84"/>
      <c r="E493" s="84"/>
      <c r="F493" s="84"/>
      <c r="G493" s="84"/>
      <c r="H493" s="84"/>
      <c r="I493" s="84"/>
      <c r="J493" s="84"/>
      <c r="K493" s="84"/>
      <c r="L493" s="84"/>
    </row>
    <row r="494" spans="2:12" x14ac:dyDescent="0.25">
      <c r="B494" s="85">
        <v>11795</v>
      </c>
      <c r="C494" s="85"/>
      <c r="D494" s="85"/>
      <c r="E494" s="85"/>
      <c r="F494" s="85"/>
      <c r="G494" s="85"/>
      <c r="H494" s="85"/>
      <c r="I494" s="85"/>
      <c r="J494" s="85"/>
      <c r="K494" s="85"/>
      <c r="L494" s="85"/>
    </row>
    <row r="495" spans="2:12" x14ac:dyDescent="0.25">
      <c r="B495" s="84">
        <v>11895</v>
      </c>
      <c r="C495" s="84"/>
      <c r="D495" s="84"/>
      <c r="E495" s="84"/>
      <c r="F495" s="84"/>
      <c r="G495" s="84"/>
      <c r="H495" s="84"/>
      <c r="I495" s="84"/>
      <c r="J495" s="84"/>
      <c r="K495" s="84"/>
      <c r="L495" s="84"/>
    </row>
    <row r="496" spans="2:12" x14ac:dyDescent="0.25">
      <c r="B496" s="85">
        <v>11995</v>
      </c>
      <c r="C496" s="85"/>
      <c r="D496" s="85"/>
      <c r="E496" s="85"/>
      <c r="F496" s="85"/>
      <c r="G496" s="85"/>
      <c r="H496" s="85"/>
      <c r="I496" s="85"/>
      <c r="J496" s="85"/>
      <c r="K496" s="85"/>
      <c r="L496" s="85"/>
    </row>
    <row r="497" spans="2:12" x14ac:dyDescent="0.25">
      <c r="B497" s="84">
        <v>12095</v>
      </c>
      <c r="C497" s="84"/>
      <c r="D497" s="84"/>
      <c r="E497" s="84"/>
      <c r="F497" s="84"/>
      <c r="G497" s="84"/>
      <c r="H497" s="84"/>
      <c r="I497" s="84"/>
      <c r="J497" s="84"/>
      <c r="K497" s="84"/>
      <c r="L497" s="84"/>
    </row>
    <row r="498" spans="2:12" x14ac:dyDescent="0.25">
      <c r="B498" s="85">
        <v>12195</v>
      </c>
      <c r="C498" s="85"/>
      <c r="D498" s="85"/>
      <c r="E498" s="85"/>
      <c r="F498" s="85"/>
      <c r="G498" s="85"/>
      <c r="H498" s="85"/>
      <c r="I498" s="85"/>
      <c r="J498" s="85"/>
      <c r="K498" s="85"/>
      <c r="L498" s="85"/>
    </row>
    <row r="499" spans="2:12" x14ac:dyDescent="0.25">
      <c r="B499" s="84">
        <v>12295</v>
      </c>
      <c r="C499" s="84"/>
      <c r="D499" s="84"/>
      <c r="E499" s="84"/>
      <c r="F499" s="84"/>
      <c r="G499" s="84"/>
      <c r="H499" s="84"/>
      <c r="I499" s="84"/>
      <c r="J499" s="84"/>
      <c r="K499" s="84"/>
      <c r="L499" s="84"/>
    </row>
    <row r="500" spans="2:12" x14ac:dyDescent="0.25">
      <c r="B500" s="85">
        <v>12395</v>
      </c>
      <c r="C500" s="85"/>
      <c r="D500" s="85"/>
      <c r="E500" s="85"/>
      <c r="F500" s="85"/>
      <c r="G500" s="85"/>
      <c r="H500" s="85"/>
      <c r="I500" s="85"/>
      <c r="J500" s="85"/>
      <c r="K500" s="85"/>
      <c r="L500" s="85"/>
    </row>
    <row r="501" spans="2:12" x14ac:dyDescent="0.25">
      <c r="B501" s="84">
        <v>12495</v>
      </c>
      <c r="C501" s="84"/>
      <c r="D501" s="84"/>
      <c r="E501" s="84"/>
      <c r="F501" s="84"/>
      <c r="G501" s="84"/>
      <c r="H501" s="84"/>
      <c r="I501" s="84"/>
      <c r="J501" s="84"/>
      <c r="K501" s="84"/>
      <c r="L501" s="84"/>
    </row>
    <row r="502" spans="2:12" x14ac:dyDescent="0.25">
      <c r="B502" s="85">
        <v>12595</v>
      </c>
      <c r="C502" s="85"/>
      <c r="D502" s="85"/>
      <c r="E502" s="85"/>
      <c r="F502" s="85"/>
      <c r="G502" s="85"/>
      <c r="H502" s="85"/>
      <c r="I502" s="85"/>
      <c r="J502" s="85"/>
      <c r="K502" s="85"/>
      <c r="L502" s="85"/>
    </row>
    <row r="503" spans="2:12" x14ac:dyDescent="0.25">
      <c r="B503" s="84">
        <v>12695</v>
      </c>
      <c r="C503" s="84"/>
      <c r="D503" s="84"/>
      <c r="E503" s="84"/>
      <c r="F503" s="84"/>
      <c r="G503" s="84"/>
      <c r="H503" s="84"/>
      <c r="I503" s="84"/>
      <c r="J503" s="84"/>
      <c r="K503" s="84"/>
      <c r="L503" s="84"/>
    </row>
    <row r="504" spans="2:12" x14ac:dyDescent="0.25">
      <c r="B504" s="85">
        <v>12795</v>
      </c>
      <c r="C504" s="85"/>
      <c r="D504" s="85"/>
      <c r="E504" s="85"/>
      <c r="F504" s="85"/>
      <c r="G504" s="85"/>
      <c r="H504" s="85"/>
      <c r="I504" s="85"/>
      <c r="J504" s="85"/>
      <c r="K504" s="85"/>
      <c r="L504" s="85"/>
    </row>
    <row r="505" spans="2:12" x14ac:dyDescent="0.25">
      <c r="B505" s="84">
        <v>12895</v>
      </c>
      <c r="C505" s="84"/>
      <c r="D505" s="84"/>
      <c r="E505" s="84"/>
      <c r="F505" s="84"/>
      <c r="G505" s="84"/>
      <c r="H505" s="84"/>
      <c r="I505" s="84"/>
      <c r="J505" s="84"/>
      <c r="K505" s="84"/>
      <c r="L505" s="84"/>
    </row>
    <row r="506" spans="2:12" x14ac:dyDescent="0.25">
      <c r="B506" s="85">
        <v>12995</v>
      </c>
      <c r="C506" s="85"/>
      <c r="D506" s="85"/>
      <c r="E506" s="85"/>
      <c r="F506" s="85"/>
      <c r="G506" s="85"/>
      <c r="H506" s="85"/>
      <c r="I506" s="85"/>
      <c r="J506" s="85"/>
      <c r="K506" s="85"/>
      <c r="L506" s="85"/>
    </row>
    <row r="507" spans="2:12" x14ac:dyDescent="0.25">
      <c r="B507" s="84">
        <v>13095</v>
      </c>
      <c r="C507" s="84"/>
      <c r="D507" s="84"/>
      <c r="E507" s="84"/>
      <c r="F507" s="84"/>
      <c r="G507" s="84"/>
      <c r="H507" s="84"/>
      <c r="I507" s="84"/>
      <c r="J507" s="84"/>
      <c r="K507" s="84"/>
      <c r="L507" s="84"/>
    </row>
    <row r="508" spans="2:12" x14ac:dyDescent="0.25">
      <c r="B508" s="85">
        <v>13195</v>
      </c>
      <c r="C508" s="85"/>
      <c r="D508" s="85"/>
      <c r="E508" s="85"/>
      <c r="F508" s="85"/>
      <c r="G508" s="85"/>
      <c r="H508" s="85"/>
      <c r="I508" s="85"/>
      <c r="J508" s="85"/>
      <c r="K508" s="85"/>
      <c r="L508" s="85"/>
    </row>
    <row r="509" spans="2:12" x14ac:dyDescent="0.25">
      <c r="B509" s="84">
        <v>13295</v>
      </c>
      <c r="C509" s="84"/>
      <c r="D509" s="84"/>
      <c r="E509" s="84"/>
      <c r="F509" s="84"/>
      <c r="G509" s="84"/>
      <c r="H509" s="84"/>
      <c r="I509" s="84"/>
      <c r="J509" s="84"/>
      <c r="K509" s="84"/>
      <c r="L509" s="84"/>
    </row>
    <row r="510" spans="2:12" x14ac:dyDescent="0.25">
      <c r="B510" s="85">
        <v>13395</v>
      </c>
      <c r="C510" s="85"/>
      <c r="D510" s="85"/>
      <c r="E510" s="85"/>
      <c r="F510" s="85"/>
      <c r="G510" s="85"/>
      <c r="H510" s="85"/>
      <c r="I510" s="85"/>
      <c r="J510" s="85"/>
      <c r="K510" s="85"/>
      <c r="L510" s="85"/>
    </row>
    <row r="511" spans="2:12" x14ac:dyDescent="0.25">
      <c r="B511" s="84">
        <v>13495</v>
      </c>
      <c r="C511" s="84"/>
      <c r="D511" s="84"/>
      <c r="E511" s="84"/>
      <c r="F511" s="84"/>
      <c r="G511" s="84"/>
      <c r="H511" s="84"/>
      <c r="I511" s="84"/>
      <c r="J511" s="84"/>
      <c r="K511" s="84"/>
      <c r="L511" s="84"/>
    </row>
    <row r="512" spans="2:12" x14ac:dyDescent="0.25">
      <c r="B512" s="85">
        <v>13595</v>
      </c>
      <c r="C512" s="85"/>
      <c r="D512" s="85"/>
      <c r="E512" s="85"/>
      <c r="F512" s="85"/>
      <c r="G512" s="85"/>
      <c r="H512" s="85"/>
      <c r="I512" s="85"/>
      <c r="J512" s="85"/>
      <c r="K512" s="85"/>
      <c r="L512" s="85"/>
    </row>
    <row r="513" spans="2:12" x14ac:dyDescent="0.25">
      <c r="B513" s="84">
        <v>13695</v>
      </c>
      <c r="C513" s="84"/>
      <c r="D513" s="84"/>
      <c r="E513" s="84"/>
      <c r="F513" s="84"/>
      <c r="G513" s="84"/>
      <c r="H513" s="84"/>
      <c r="I513" s="84"/>
      <c r="J513" s="84"/>
      <c r="K513" s="84"/>
      <c r="L513" s="84"/>
    </row>
    <row r="514" spans="2:12" x14ac:dyDescent="0.25">
      <c r="B514" s="85">
        <v>13795</v>
      </c>
      <c r="C514" s="85"/>
      <c r="D514" s="85"/>
      <c r="E514" s="85"/>
      <c r="F514" s="85"/>
      <c r="G514" s="85"/>
      <c r="H514" s="85"/>
      <c r="I514" s="85"/>
      <c r="J514" s="85"/>
      <c r="K514" s="85"/>
      <c r="L514" s="85"/>
    </row>
    <row r="515" spans="2:12" x14ac:dyDescent="0.25">
      <c r="B515" s="84">
        <v>13895</v>
      </c>
      <c r="C515" s="84"/>
      <c r="D515" s="84"/>
      <c r="E515" s="84"/>
      <c r="F515" s="84"/>
      <c r="G515" s="84"/>
      <c r="H515" s="84"/>
      <c r="I515" s="84"/>
      <c r="J515" s="84"/>
      <c r="K515" s="84"/>
      <c r="L515" s="84"/>
    </row>
    <row r="516" spans="2:12" x14ac:dyDescent="0.25">
      <c r="B516" s="85">
        <v>13995</v>
      </c>
      <c r="C516" s="85"/>
      <c r="D516" s="85"/>
      <c r="E516" s="85"/>
      <c r="F516" s="85"/>
      <c r="G516" s="85"/>
      <c r="H516" s="85"/>
      <c r="I516" s="85"/>
      <c r="J516" s="85"/>
      <c r="K516" s="85"/>
      <c r="L516" s="85"/>
    </row>
    <row r="517" spans="2:12" x14ac:dyDescent="0.25">
      <c r="B517" s="84">
        <v>14095</v>
      </c>
      <c r="C517" s="84"/>
      <c r="D517" s="84"/>
      <c r="E517" s="84"/>
      <c r="F517" s="84"/>
      <c r="G517" s="84"/>
      <c r="H517" s="84"/>
      <c r="I517" s="84"/>
      <c r="J517" s="84"/>
      <c r="K517" s="84"/>
      <c r="L517" s="84"/>
    </row>
    <row r="518" spans="2:12" x14ac:dyDescent="0.25">
      <c r="B518" s="85">
        <v>14195</v>
      </c>
      <c r="C518" s="85"/>
      <c r="D518" s="85"/>
      <c r="E518" s="85"/>
      <c r="F518" s="85"/>
      <c r="G518" s="85"/>
      <c r="H518" s="85"/>
      <c r="I518" s="85"/>
      <c r="J518" s="85"/>
      <c r="K518" s="85"/>
      <c r="L518" s="85"/>
    </row>
    <row r="519" spans="2:12" x14ac:dyDescent="0.25">
      <c r="B519" s="84">
        <v>14295</v>
      </c>
      <c r="C519" s="84"/>
      <c r="D519" s="84"/>
      <c r="E519" s="84"/>
      <c r="F519" s="84"/>
      <c r="G519" s="84"/>
      <c r="H519" s="84"/>
      <c r="I519" s="84"/>
      <c r="J519" s="84"/>
      <c r="K519" s="84"/>
      <c r="L519" s="84"/>
    </row>
    <row r="520" spans="2:12" x14ac:dyDescent="0.25">
      <c r="B520" s="85">
        <v>14395</v>
      </c>
      <c r="C520" s="85"/>
      <c r="D520" s="85"/>
      <c r="E520" s="85"/>
      <c r="F520" s="85"/>
      <c r="G520" s="85"/>
      <c r="H520" s="85"/>
      <c r="I520" s="85"/>
      <c r="J520" s="85"/>
      <c r="K520" s="85"/>
      <c r="L520" s="85"/>
    </row>
    <row r="521" spans="2:12" x14ac:dyDescent="0.25">
      <c r="B521" s="84">
        <v>14495</v>
      </c>
      <c r="C521" s="84"/>
      <c r="D521" s="84"/>
      <c r="E521" s="84"/>
      <c r="F521" s="84"/>
      <c r="G521" s="84"/>
      <c r="H521" s="84"/>
      <c r="I521" s="84"/>
      <c r="J521" s="84"/>
      <c r="K521" s="84"/>
      <c r="L521" s="84"/>
    </row>
    <row r="522" spans="2:12" x14ac:dyDescent="0.25">
      <c r="B522" s="85">
        <v>14595</v>
      </c>
      <c r="C522" s="85"/>
      <c r="D522" s="85"/>
      <c r="E522" s="85"/>
      <c r="F522" s="85"/>
      <c r="G522" s="85"/>
      <c r="H522" s="85"/>
      <c r="I522" s="85"/>
      <c r="J522" s="85"/>
      <c r="K522" s="85"/>
      <c r="L522" s="85"/>
    </row>
    <row r="523" spans="2:12" x14ac:dyDescent="0.25">
      <c r="B523" s="84">
        <v>14695</v>
      </c>
      <c r="C523" s="84"/>
      <c r="D523" s="84"/>
      <c r="E523" s="84"/>
      <c r="F523" s="84"/>
      <c r="G523" s="84"/>
      <c r="H523" s="84"/>
      <c r="I523" s="84"/>
      <c r="J523" s="84"/>
      <c r="K523" s="84"/>
      <c r="L523" s="84"/>
    </row>
    <row r="524" spans="2:12" x14ac:dyDescent="0.25">
      <c r="B524" s="85">
        <v>14795</v>
      </c>
      <c r="C524" s="85"/>
      <c r="D524" s="85"/>
      <c r="E524" s="85"/>
      <c r="F524" s="85"/>
      <c r="G524" s="85"/>
      <c r="H524" s="85"/>
      <c r="I524" s="85"/>
      <c r="J524" s="85"/>
      <c r="K524" s="85"/>
      <c r="L524" s="85"/>
    </row>
    <row r="525" spans="2:12" x14ac:dyDescent="0.25">
      <c r="B525" s="84">
        <v>14895</v>
      </c>
      <c r="C525" s="84"/>
      <c r="D525" s="84"/>
      <c r="E525" s="84"/>
      <c r="F525" s="84"/>
      <c r="G525" s="84"/>
      <c r="H525" s="84"/>
      <c r="I525" s="84"/>
      <c r="J525" s="84"/>
      <c r="K525" s="84"/>
      <c r="L525" s="84"/>
    </row>
    <row r="526" spans="2:12" x14ac:dyDescent="0.25">
      <c r="B526" s="85">
        <v>14995</v>
      </c>
      <c r="C526" s="85"/>
      <c r="D526" s="85"/>
      <c r="E526" s="85"/>
      <c r="F526" s="85"/>
      <c r="G526" s="85"/>
      <c r="H526" s="85"/>
      <c r="I526" s="85"/>
      <c r="J526" s="85"/>
      <c r="K526" s="85"/>
      <c r="L526" s="85"/>
    </row>
    <row r="527" spans="2:12" x14ac:dyDescent="0.25">
      <c r="B527" s="84">
        <v>15095</v>
      </c>
      <c r="C527" s="84"/>
      <c r="D527" s="84"/>
      <c r="E527" s="84"/>
      <c r="F527" s="84"/>
      <c r="G527" s="84"/>
      <c r="H527" s="84"/>
      <c r="I527" s="84"/>
      <c r="J527" s="84"/>
      <c r="K527" s="84"/>
      <c r="L527" s="84"/>
    </row>
    <row r="528" spans="2:12" x14ac:dyDescent="0.25">
      <c r="B528" s="85">
        <v>15195</v>
      </c>
      <c r="C528" s="85"/>
      <c r="D528" s="85"/>
      <c r="E528" s="85"/>
      <c r="F528" s="85"/>
      <c r="G528" s="85"/>
      <c r="H528" s="85"/>
      <c r="I528" s="85"/>
      <c r="J528" s="85"/>
      <c r="K528" s="85"/>
      <c r="L528" s="85"/>
    </row>
    <row r="529" spans="2:12" x14ac:dyDescent="0.25">
      <c r="B529" s="84">
        <v>15295</v>
      </c>
      <c r="C529" s="84"/>
      <c r="D529" s="84"/>
      <c r="E529" s="84"/>
      <c r="F529" s="84"/>
      <c r="G529" s="84"/>
      <c r="H529" s="84"/>
      <c r="I529" s="84"/>
      <c r="J529" s="84"/>
      <c r="K529" s="84"/>
      <c r="L529" s="84"/>
    </row>
    <row r="530" spans="2:12" x14ac:dyDescent="0.25">
      <c r="B530" s="85">
        <v>15395</v>
      </c>
      <c r="C530" s="85"/>
      <c r="D530" s="85"/>
      <c r="E530" s="85"/>
      <c r="F530" s="85"/>
      <c r="G530" s="85"/>
      <c r="H530" s="85"/>
      <c r="I530" s="85"/>
      <c r="J530" s="85"/>
      <c r="K530" s="85"/>
      <c r="L530" s="85"/>
    </row>
    <row r="531" spans="2:12" x14ac:dyDescent="0.25">
      <c r="B531" s="84">
        <v>15495</v>
      </c>
      <c r="C531" s="84"/>
      <c r="D531" s="84"/>
      <c r="E531" s="84"/>
      <c r="F531" s="84"/>
      <c r="G531" s="84"/>
      <c r="H531" s="84"/>
      <c r="I531" s="84"/>
      <c r="J531" s="84"/>
      <c r="K531" s="84"/>
      <c r="L531" s="84"/>
    </row>
    <row r="532" spans="2:12" x14ac:dyDescent="0.25">
      <c r="B532" s="85">
        <v>15595</v>
      </c>
      <c r="C532" s="85"/>
      <c r="D532" s="85"/>
      <c r="E532" s="85"/>
      <c r="F532" s="85"/>
      <c r="G532" s="85"/>
      <c r="H532" s="85"/>
      <c r="I532" s="85"/>
      <c r="J532" s="85"/>
      <c r="K532" s="85"/>
      <c r="L532" s="85"/>
    </row>
    <row r="533" spans="2:12" x14ac:dyDescent="0.25">
      <c r="B533" s="84">
        <v>15695</v>
      </c>
      <c r="C533" s="84"/>
      <c r="D533" s="84"/>
      <c r="E533" s="84"/>
      <c r="F533" s="84"/>
      <c r="G533" s="84"/>
      <c r="H533" s="84"/>
      <c r="I533" s="84"/>
      <c r="J533" s="84"/>
      <c r="K533" s="84"/>
      <c r="L533" s="84"/>
    </row>
    <row r="534" spans="2:12" x14ac:dyDescent="0.25">
      <c r="B534" s="85">
        <v>15795</v>
      </c>
      <c r="C534" s="85"/>
      <c r="D534" s="85"/>
      <c r="E534" s="85"/>
      <c r="F534" s="85"/>
      <c r="G534" s="85"/>
      <c r="H534" s="85"/>
      <c r="I534" s="85"/>
      <c r="J534" s="85"/>
      <c r="K534" s="85"/>
      <c r="L534" s="85"/>
    </row>
    <row r="535" spans="2:12" x14ac:dyDescent="0.25">
      <c r="B535" s="84">
        <v>15895</v>
      </c>
      <c r="C535" s="84"/>
      <c r="D535" s="84"/>
      <c r="E535" s="84"/>
      <c r="F535" s="84"/>
      <c r="G535" s="84"/>
      <c r="H535" s="84"/>
      <c r="I535" s="84"/>
      <c r="J535" s="84"/>
      <c r="K535" s="84"/>
      <c r="L535" s="84"/>
    </row>
    <row r="536" spans="2:12" x14ac:dyDescent="0.25">
      <c r="B536" s="85">
        <v>15995</v>
      </c>
      <c r="C536" s="85"/>
      <c r="D536" s="85"/>
      <c r="E536" s="85"/>
      <c r="F536" s="85"/>
      <c r="G536" s="85"/>
      <c r="H536" s="85"/>
      <c r="I536" s="85"/>
      <c r="J536" s="85"/>
      <c r="K536" s="85"/>
      <c r="L536" s="85"/>
    </row>
    <row r="537" spans="2:12" x14ac:dyDescent="0.25">
      <c r="B537" s="84">
        <v>16095</v>
      </c>
      <c r="C537" s="84"/>
      <c r="D537" s="84"/>
      <c r="E537" s="84"/>
      <c r="F537" s="84"/>
      <c r="G537" s="84"/>
      <c r="H537" s="84"/>
      <c r="I537" s="84"/>
      <c r="J537" s="84"/>
      <c r="K537" s="84"/>
      <c r="L537" s="84"/>
    </row>
    <row r="538" spans="2:12" x14ac:dyDescent="0.25">
      <c r="B538" s="85">
        <v>16195</v>
      </c>
      <c r="C538" s="85"/>
      <c r="D538" s="85"/>
      <c r="E538" s="85"/>
      <c r="F538" s="85"/>
      <c r="G538" s="85"/>
      <c r="H538" s="85"/>
      <c r="I538" s="85"/>
      <c r="J538" s="85"/>
      <c r="K538" s="85"/>
      <c r="L538" s="85"/>
    </row>
    <row r="539" spans="2:12" x14ac:dyDescent="0.25">
      <c r="B539" s="84">
        <v>16295</v>
      </c>
      <c r="C539" s="84"/>
      <c r="D539" s="84"/>
      <c r="E539" s="84"/>
      <c r="F539" s="84"/>
      <c r="G539" s="84"/>
      <c r="H539" s="84"/>
      <c r="I539" s="84"/>
      <c r="J539" s="84"/>
      <c r="K539" s="84"/>
      <c r="L539" s="84"/>
    </row>
    <row r="540" spans="2:12" x14ac:dyDescent="0.25">
      <c r="B540" s="85">
        <v>16395</v>
      </c>
      <c r="C540" s="85"/>
      <c r="D540" s="85"/>
      <c r="E540" s="85"/>
      <c r="F540" s="85"/>
      <c r="G540" s="85"/>
      <c r="H540" s="85"/>
      <c r="I540" s="85"/>
      <c r="J540" s="85"/>
      <c r="K540" s="85"/>
      <c r="L540" s="85"/>
    </row>
    <row r="541" spans="2:12" x14ac:dyDescent="0.25">
      <c r="B541" s="84">
        <v>16495</v>
      </c>
      <c r="C541" s="84"/>
      <c r="D541" s="84"/>
      <c r="E541" s="84"/>
      <c r="F541" s="84"/>
      <c r="G541" s="84"/>
      <c r="H541" s="84"/>
      <c r="I541" s="84"/>
      <c r="J541" s="84"/>
      <c r="K541" s="84"/>
      <c r="L541" s="84"/>
    </row>
    <row r="542" spans="2:12" x14ac:dyDescent="0.25">
      <c r="B542" s="85">
        <v>16595</v>
      </c>
      <c r="C542" s="85"/>
      <c r="D542" s="85"/>
      <c r="E542" s="85"/>
      <c r="F542" s="85"/>
      <c r="G542" s="85"/>
      <c r="H542" s="85"/>
      <c r="I542" s="85"/>
      <c r="J542" s="85"/>
      <c r="K542" s="85"/>
      <c r="L542" s="85"/>
    </row>
    <row r="543" spans="2:12" x14ac:dyDescent="0.25">
      <c r="B543" s="84">
        <v>16695</v>
      </c>
      <c r="C543" s="84"/>
      <c r="D543" s="84"/>
      <c r="E543" s="84"/>
      <c r="F543" s="84"/>
      <c r="G543" s="84"/>
      <c r="H543" s="84"/>
      <c r="I543" s="84"/>
      <c r="J543" s="84"/>
      <c r="K543" s="84"/>
      <c r="L543" s="84"/>
    </row>
    <row r="544" spans="2:12" x14ac:dyDescent="0.25">
      <c r="B544" s="85">
        <v>16795</v>
      </c>
      <c r="C544" s="85"/>
      <c r="D544" s="85"/>
      <c r="E544" s="85"/>
      <c r="F544" s="85"/>
      <c r="G544" s="85"/>
      <c r="H544" s="85"/>
      <c r="I544" s="85"/>
      <c r="J544" s="85"/>
      <c r="K544" s="85"/>
      <c r="L544" s="85"/>
    </row>
    <row r="545" spans="2:12" x14ac:dyDescent="0.25">
      <c r="B545" s="84">
        <v>16895</v>
      </c>
      <c r="C545" s="84"/>
      <c r="D545" s="84"/>
      <c r="E545" s="84"/>
      <c r="F545" s="84"/>
      <c r="G545" s="84"/>
      <c r="H545" s="84"/>
      <c r="I545" s="84"/>
      <c r="J545" s="84"/>
      <c r="K545" s="84"/>
      <c r="L545" s="84"/>
    </row>
    <row r="546" spans="2:12" x14ac:dyDescent="0.25">
      <c r="B546" s="85">
        <v>16995</v>
      </c>
      <c r="C546" s="85"/>
      <c r="D546" s="85"/>
      <c r="E546" s="85"/>
      <c r="F546" s="85"/>
      <c r="G546" s="85"/>
      <c r="H546" s="85"/>
      <c r="I546" s="85"/>
      <c r="J546" s="85"/>
      <c r="K546" s="85"/>
      <c r="L546" s="85"/>
    </row>
    <row r="547" spans="2:12" x14ac:dyDescent="0.25">
      <c r="B547" s="84">
        <v>17095</v>
      </c>
      <c r="C547" s="84"/>
      <c r="D547" s="84"/>
      <c r="E547" s="84"/>
      <c r="F547" s="84"/>
      <c r="G547" s="84"/>
      <c r="H547" s="84"/>
      <c r="I547" s="84"/>
      <c r="J547" s="84"/>
      <c r="K547" s="84"/>
      <c r="L547" s="84"/>
    </row>
    <row r="548" spans="2:12" x14ac:dyDescent="0.25">
      <c r="B548" s="85">
        <v>17195</v>
      </c>
      <c r="C548" s="85"/>
      <c r="D548" s="85"/>
      <c r="E548" s="85"/>
      <c r="F548" s="85"/>
      <c r="G548" s="85"/>
      <c r="H548" s="85"/>
      <c r="I548" s="85"/>
      <c r="J548" s="85"/>
      <c r="K548" s="85"/>
      <c r="L548" s="85"/>
    </row>
    <row r="549" spans="2:12" x14ac:dyDescent="0.25">
      <c r="B549" s="84">
        <v>17295</v>
      </c>
      <c r="C549" s="84"/>
      <c r="D549" s="84"/>
      <c r="E549" s="84"/>
      <c r="F549" s="84"/>
      <c r="G549" s="84"/>
      <c r="H549" s="84"/>
      <c r="I549" s="84"/>
      <c r="J549" s="84"/>
      <c r="K549" s="84"/>
      <c r="L549" s="84"/>
    </row>
    <row r="550" spans="2:12" x14ac:dyDescent="0.25">
      <c r="B550" s="85">
        <v>17395</v>
      </c>
      <c r="C550" s="85"/>
      <c r="D550" s="85"/>
      <c r="E550" s="85"/>
      <c r="F550" s="85"/>
      <c r="G550" s="85"/>
      <c r="H550" s="85"/>
      <c r="I550" s="85"/>
      <c r="J550" s="85"/>
      <c r="K550" s="85"/>
      <c r="L550" s="85"/>
    </row>
    <row r="551" spans="2:12" x14ac:dyDescent="0.25">
      <c r="B551" s="84">
        <v>17495</v>
      </c>
      <c r="C551" s="84"/>
      <c r="D551" s="84"/>
      <c r="E551" s="84"/>
      <c r="F551" s="84"/>
      <c r="G551" s="84"/>
      <c r="H551" s="84"/>
      <c r="I551" s="84"/>
      <c r="J551" s="84"/>
      <c r="K551" s="84"/>
      <c r="L551" s="84"/>
    </row>
    <row r="552" spans="2:12" x14ac:dyDescent="0.25">
      <c r="B552" s="85">
        <v>17595</v>
      </c>
      <c r="C552" s="85"/>
      <c r="D552" s="85"/>
      <c r="E552" s="85"/>
      <c r="F552" s="85"/>
      <c r="G552" s="85"/>
      <c r="H552" s="85"/>
      <c r="I552" s="85"/>
      <c r="J552" s="85"/>
      <c r="K552" s="85"/>
      <c r="L552" s="85"/>
    </row>
    <row r="553" spans="2:12" x14ac:dyDescent="0.25">
      <c r="B553" s="84">
        <v>17695</v>
      </c>
      <c r="C553" s="84"/>
      <c r="D553" s="84"/>
      <c r="E553" s="84"/>
      <c r="F553" s="84"/>
      <c r="G553" s="84"/>
      <c r="H553" s="84"/>
      <c r="I553" s="84"/>
      <c r="J553" s="84"/>
      <c r="K553" s="84"/>
      <c r="L553" s="84"/>
    </row>
    <row r="554" spans="2:12" x14ac:dyDescent="0.25">
      <c r="B554" s="85">
        <v>17795</v>
      </c>
      <c r="C554" s="85"/>
      <c r="D554" s="85"/>
      <c r="E554" s="85"/>
      <c r="F554" s="85"/>
      <c r="G554" s="85"/>
      <c r="H554" s="85"/>
      <c r="I554" s="85"/>
      <c r="J554" s="85"/>
      <c r="K554" s="85"/>
      <c r="L554" s="85"/>
    </row>
    <row r="555" spans="2:12" x14ac:dyDescent="0.25">
      <c r="B555" s="84">
        <v>17895</v>
      </c>
      <c r="C555" s="84"/>
      <c r="D555" s="84"/>
      <c r="E555" s="84"/>
      <c r="F555" s="84"/>
      <c r="G555" s="84"/>
      <c r="H555" s="84"/>
      <c r="I555" s="84"/>
      <c r="J555" s="84"/>
      <c r="K555" s="84"/>
      <c r="L555" s="84"/>
    </row>
    <row r="556" spans="2:12" x14ac:dyDescent="0.25">
      <c r="B556" s="85">
        <v>17995</v>
      </c>
      <c r="C556" s="85"/>
      <c r="D556" s="85"/>
      <c r="E556" s="85"/>
      <c r="F556" s="85"/>
      <c r="G556" s="85"/>
      <c r="H556" s="85"/>
      <c r="I556" s="85"/>
      <c r="J556" s="85"/>
      <c r="K556" s="85"/>
      <c r="L556" s="85"/>
    </row>
    <row r="557" spans="2:12" x14ac:dyDescent="0.25">
      <c r="B557" s="84">
        <v>18095</v>
      </c>
      <c r="C557" s="84"/>
      <c r="D557" s="84"/>
      <c r="E557" s="84"/>
      <c r="F557" s="84"/>
      <c r="G557" s="84"/>
      <c r="H557" s="84"/>
      <c r="I557" s="84"/>
      <c r="J557" s="84"/>
      <c r="K557" s="84"/>
      <c r="L557" s="84"/>
    </row>
    <row r="558" spans="2:12" x14ac:dyDescent="0.25">
      <c r="B558" s="85">
        <v>18195</v>
      </c>
      <c r="C558" s="85"/>
      <c r="D558" s="85"/>
      <c r="E558" s="85"/>
      <c r="F558" s="85"/>
      <c r="G558" s="85"/>
      <c r="H558" s="85"/>
      <c r="I558" s="85"/>
      <c r="J558" s="85"/>
      <c r="K558" s="85"/>
      <c r="L558" s="85"/>
    </row>
    <row r="559" spans="2:12" x14ac:dyDescent="0.25">
      <c r="B559" s="84">
        <v>18295</v>
      </c>
      <c r="C559" s="84"/>
      <c r="D559" s="84"/>
      <c r="E559" s="84"/>
      <c r="F559" s="84"/>
      <c r="G559" s="84"/>
      <c r="H559" s="84"/>
      <c r="I559" s="84"/>
      <c r="J559" s="84"/>
      <c r="K559" s="84"/>
      <c r="L559" s="84"/>
    </row>
    <row r="560" spans="2:12" x14ac:dyDescent="0.25">
      <c r="B560" s="85">
        <v>18395</v>
      </c>
      <c r="C560" s="85"/>
      <c r="D560" s="85"/>
      <c r="E560" s="85"/>
      <c r="F560" s="85"/>
      <c r="G560" s="85"/>
      <c r="H560" s="85"/>
      <c r="I560" s="85"/>
      <c r="J560" s="85"/>
      <c r="K560" s="85"/>
      <c r="L560" s="85"/>
    </row>
    <row r="561" spans="2:12" x14ac:dyDescent="0.25">
      <c r="B561" s="84">
        <v>18495</v>
      </c>
      <c r="C561" s="84"/>
      <c r="D561" s="84"/>
      <c r="E561" s="84"/>
      <c r="F561" s="84"/>
      <c r="G561" s="84"/>
      <c r="H561" s="84"/>
      <c r="I561" s="84"/>
      <c r="J561" s="84"/>
      <c r="K561" s="84"/>
      <c r="L561" s="84"/>
    </row>
    <row r="562" spans="2:12" x14ac:dyDescent="0.25">
      <c r="B562" s="85">
        <v>18595</v>
      </c>
      <c r="C562" s="85"/>
      <c r="D562" s="85"/>
      <c r="E562" s="85"/>
      <c r="F562" s="85"/>
      <c r="G562" s="85"/>
      <c r="H562" s="85"/>
      <c r="I562" s="85"/>
      <c r="J562" s="85"/>
      <c r="K562" s="85"/>
      <c r="L562" s="85"/>
    </row>
    <row r="563" spans="2:12" x14ac:dyDescent="0.25">
      <c r="B563" s="84">
        <v>18695</v>
      </c>
      <c r="C563" s="84"/>
      <c r="D563" s="84"/>
      <c r="E563" s="84"/>
      <c r="F563" s="84"/>
      <c r="G563" s="84"/>
      <c r="H563" s="84"/>
      <c r="I563" s="84"/>
      <c r="J563" s="84"/>
      <c r="K563" s="84"/>
      <c r="L563" s="84"/>
    </row>
    <row r="564" spans="2:12" x14ac:dyDescent="0.25">
      <c r="B564" s="85">
        <v>18795</v>
      </c>
      <c r="C564" s="85"/>
      <c r="D564" s="85"/>
      <c r="E564" s="85"/>
      <c r="F564" s="85"/>
      <c r="G564" s="85"/>
      <c r="H564" s="85"/>
      <c r="I564" s="85"/>
      <c r="J564" s="85"/>
      <c r="K564" s="85"/>
      <c r="L564" s="85"/>
    </row>
    <row r="565" spans="2:12" x14ac:dyDescent="0.25">
      <c r="B565" s="84">
        <v>18895</v>
      </c>
      <c r="C565" s="84"/>
      <c r="D565" s="84"/>
      <c r="E565" s="84"/>
      <c r="F565" s="84"/>
      <c r="G565" s="84"/>
      <c r="H565" s="84"/>
      <c r="I565" s="84"/>
      <c r="J565" s="84"/>
      <c r="K565" s="84"/>
      <c r="L565" s="84"/>
    </row>
    <row r="566" spans="2:12" x14ac:dyDescent="0.25">
      <c r="B566" s="85">
        <v>18995</v>
      </c>
      <c r="C566" s="85"/>
      <c r="D566" s="85"/>
      <c r="E566" s="85"/>
      <c r="F566" s="85"/>
      <c r="G566" s="85"/>
      <c r="H566" s="85"/>
      <c r="I566" s="85"/>
      <c r="J566" s="85"/>
      <c r="K566" s="85"/>
      <c r="L566" s="85"/>
    </row>
    <row r="567" spans="2:12" x14ac:dyDescent="0.25">
      <c r="B567" s="84">
        <v>19095</v>
      </c>
      <c r="C567" s="84"/>
      <c r="D567" s="84"/>
      <c r="E567" s="84"/>
      <c r="F567" s="84"/>
      <c r="G567" s="84"/>
      <c r="H567" s="84"/>
      <c r="I567" s="84"/>
      <c r="J567" s="84"/>
      <c r="K567" s="84"/>
      <c r="L567" s="84"/>
    </row>
    <row r="568" spans="2:12" x14ac:dyDescent="0.25">
      <c r="B568" s="85">
        <v>19195</v>
      </c>
      <c r="C568" s="85"/>
      <c r="D568" s="85"/>
      <c r="E568" s="85"/>
      <c r="F568" s="85"/>
      <c r="G568" s="85"/>
      <c r="H568" s="85"/>
      <c r="I568" s="85"/>
      <c r="J568" s="85"/>
      <c r="K568" s="85"/>
      <c r="L568" s="85"/>
    </row>
    <row r="569" spans="2:12" x14ac:dyDescent="0.25">
      <c r="B569" s="84">
        <v>19295</v>
      </c>
      <c r="C569" s="84"/>
      <c r="D569" s="84"/>
      <c r="E569" s="84"/>
      <c r="F569" s="84"/>
      <c r="G569" s="84"/>
      <c r="H569" s="84"/>
      <c r="I569" s="84"/>
      <c r="J569" s="84"/>
      <c r="K569" s="84"/>
      <c r="L569" s="84"/>
    </row>
    <row r="570" spans="2:12" x14ac:dyDescent="0.25">
      <c r="B570" s="85">
        <v>19395</v>
      </c>
      <c r="C570" s="85"/>
      <c r="D570" s="85"/>
      <c r="E570" s="85"/>
      <c r="F570" s="85"/>
      <c r="G570" s="85"/>
      <c r="H570" s="85"/>
      <c r="I570" s="85"/>
      <c r="J570" s="85"/>
      <c r="K570" s="85"/>
      <c r="L570" s="85"/>
    </row>
    <row r="571" spans="2:12" x14ac:dyDescent="0.25">
      <c r="B571" s="84">
        <v>19495</v>
      </c>
      <c r="C571" s="84"/>
      <c r="D571" s="84"/>
      <c r="E571" s="84"/>
      <c r="F571" s="84"/>
      <c r="G571" s="84"/>
      <c r="H571" s="84"/>
      <c r="I571" s="84"/>
      <c r="J571" s="84"/>
      <c r="K571" s="84"/>
      <c r="L571" s="84"/>
    </row>
    <row r="572" spans="2:12" x14ac:dyDescent="0.25">
      <c r="B572" s="85">
        <v>19595</v>
      </c>
      <c r="C572" s="85"/>
      <c r="D572" s="85"/>
      <c r="E572" s="85"/>
      <c r="F572" s="85"/>
      <c r="G572" s="85"/>
      <c r="H572" s="85"/>
      <c r="I572" s="85"/>
      <c r="J572" s="85"/>
      <c r="K572" s="85"/>
      <c r="L572" s="85"/>
    </row>
    <row r="573" spans="2:12" x14ac:dyDescent="0.25">
      <c r="B573" s="84">
        <v>19695</v>
      </c>
      <c r="C573" s="84"/>
      <c r="D573" s="84"/>
      <c r="E573" s="84"/>
      <c r="F573" s="84"/>
      <c r="G573" s="84"/>
      <c r="H573" s="84"/>
      <c r="I573" s="84"/>
      <c r="J573" s="84"/>
      <c r="K573" s="84"/>
      <c r="L573" s="84"/>
    </row>
    <row r="574" spans="2:12" x14ac:dyDescent="0.25">
      <c r="B574" s="85">
        <v>19795</v>
      </c>
      <c r="C574" s="85"/>
      <c r="D574" s="85"/>
      <c r="E574" s="85"/>
      <c r="F574" s="85"/>
      <c r="G574" s="85"/>
      <c r="H574" s="85"/>
      <c r="I574" s="85"/>
      <c r="J574" s="85"/>
      <c r="K574" s="85"/>
      <c r="L574" s="85"/>
    </row>
    <row r="575" spans="2:12" x14ac:dyDescent="0.25">
      <c r="B575" s="84">
        <v>19895</v>
      </c>
      <c r="C575" s="84"/>
      <c r="D575" s="84"/>
      <c r="E575" s="84"/>
      <c r="F575" s="84"/>
      <c r="G575" s="84"/>
      <c r="H575" s="84"/>
      <c r="I575" s="84"/>
      <c r="J575" s="84"/>
      <c r="K575" s="84"/>
      <c r="L575" s="84"/>
    </row>
    <row r="576" spans="2:12" x14ac:dyDescent="0.25">
      <c r="B576" s="85">
        <v>19995</v>
      </c>
      <c r="C576" s="85"/>
      <c r="D576" s="85"/>
      <c r="E576" s="85"/>
      <c r="F576" s="85"/>
      <c r="G576" s="85"/>
      <c r="H576" s="85"/>
      <c r="I576" s="85"/>
      <c r="J576" s="85"/>
      <c r="K576" s="85"/>
      <c r="L576" s="85"/>
    </row>
    <row r="577" spans="2:12" x14ac:dyDescent="0.25">
      <c r="B577" s="84">
        <v>20095</v>
      </c>
      <c r="C577" s="84"/>
      <c r="D577" s="84"/>
      <c r="E577" s="84"/>
      <c r="F577" s="84"/>
      <c r="G577" s="84"/>
      <c r="H577" s="84"/>
      <c r="I577" s="84"/>
      <c r="J577" s="84"/>
      <c r="K577" s="84"/>
      <c r="L577" s="84"/>
    </row>
    <row r="578" spans="2:12" x14ac:dyDescent="0.25">
      <c r="B578" s="85">
        <v>20195</v>
      </c>
      <c r="C578" s="85"/>
      <c r="D578" s="85"/>
      <c r="E578" s="85"/>
      <c r="F578" s="85"/>
      <c r="G578" s="85"/>
      <c r="H578" s="85"/>
      <c r="I578" s="85"/>
      <c r="J578" s="85"/>
      <c r="K578" s="85"/>
      <c r="L578" s="85"/>
    </row>
    <row r="579" spans="2:12" x14ac:dyDescent="0.25">
      <c r="B579" s="84">
        <v>20295</v>
      </c>
      <c r="C579" s="84"/>
      <c r="D579" s="84"/>
      <c r="E579" s="84"/>
      <c r="F579" s="84"/>
      <c r="G579" s="84"/>
      <c r="H579" s="84"/>
      <c r="I579" s="84"/>
      <c r="J579" s="84"/>
      <c r="K579" s="84"/>
      <c r="L579" s="84"/>
    </row>
    <row r="580" spans="2:12" x14ac:dyDescent="0.25">
      <c r="B580" s="85">
        <v>20395</v>
      </c>
      <c r="C580" s="85"/>
      <c r="D580" s="85"/>
      <c r="E580" s="85"/>
      <c r="F580" s="85"/>
      <c r="G580" s="85"/>
      <c r="H580" s="85"/>
      <c r="I580" s="85"/>
      <c r="J580" s="85"/>
      <c r="K580" s="85"/>
      <c r="L580" s="85"/>
    </row>
    <row r="581" spans="2:12" x14ac:dyDescent="0.25">
      <c r="B581" s="84">
        <v>20495</v>
      </c>
      <c r="C581" s="84"/>
      <c r="D581" s="84"/>
      <c r="E581" s="84"/>
      <c r="F581" s="84"/>
      <c r="G581" s="84"/>
      <c r="H581" s="84"/>
      <c r="I581" s="84"/>
      <c r="J581" s="84"/>
      <c r="K581" s="84"/>
      <c r="L581" s="84"/>
    </row>
    <row r="582" spans="2:12" x14ac:dyDescent="0.25">
      <c r="B582" s="85">
        <v>20595</v>
      </c>
      <c r="C582" s="85"/>
      <c r="D582" s="85"/>
      <c r="E582" s="85"/>
      <c r="F582" s="85"/>
      <c r="G582" s="85"/>
      <c r="H582" s="85"/>
      <c r="I582" s="85"/>
      <c r="J582" s="85"/>
      <c r="K582" s="85"/>
      <c r="L582" s="85"/>
    </row>
    <row r="583" spans="2:12" x14ac:dyDescent="0.25">
      <c r="B583" s="84">
        <v>20695</v>
      </c>
      <c r="C583" s="84"/>
      <c r="D583" s="84"/>
      <c r="E583" s="84"/>
      <c r="F583" s="84"/>
      <c r="G583" s="84"/>
      <c r="H583" s="84"/>
      <c r="I583" s="84"/>
      <c r="J583" s="84"/>
      <c r="K583" s="84"/>
      <c r="L583" s="84"/>
    </row>
    <row r="584" spans="2:12" x14ac:dyDescent="0.25">
      <c r="B584" s="85">
        <v>20795</v>
      </c>
      <c r="C584" s="85"/>
      <c r="D584" s="85"/>
      <c r="E584" s="85"/>
      <c r="F584" s="85"/>
      <c r="G584" s="85"/>
      <c r="H584" s="85"/>
      <c r="I584" s="85"/>
      <c r="J584" s="85"/>
      <c r="K584" s="85"/>
      <c r="L584" s="85"/>
    </row>
    <row r="585" spans="2:12" x14ac:dyDescent="0.25">
      <c r="B585" s="84">
        <v>20895</v>
      </c>
      <c r="C585" s="84"/>
      <c r="D585" s="84"/>
      <c r="E585" s="84"/>
      <c r="F585" s="84"/>
      <c r="G585" s="84"/>
      <c r="H585" s="84"/>
      <c r="I585" s="84"/>
      <c r="J585" s="84"/>
      <c r="K585" s="84"/>
      <c r="L585" s="84"/>
    </row>
    <row r="586" spans="2:12" x14ac:dyDescent="0.25">
      <c r="B586" s="85">
        <v>20995</v>
      </c>
      <c r="C586" s="85"/>
      <c r="D586" s="85"/>
      <c r="E586" s="85"/>
      <c r="F586" s="85"/>
      <c r="G586" s="85"/>
      <c r="H586" s="85"/>
      <c r="I586" s="85"/>
      <c r="J586" s="85"/>
      <c r="K586" s="85"/>
      <c r="L586" s="85"/>
    </row>
    <row r="587" spans="2:12" x14ac:dyDescent="0.25">
      <c r="B587" s="84">
        <v>21095</v>
      </c>
      <c r="C587" s="84"/>
      <c r="D587" s="84"/>
      <c r="E587" s="84"/>
      <c r="F587" s="84"/>
      <c r="G587" s="84"/>
      <c r="H587" s="84"/>
      <c r="I587" s="84"/>
      <c r="J587" s="84"/>
      <c r="K587" s="84"/>
      <c r="L587" s="84"/>
    </row>
    <row r="588" spans="2:12" x14ac:dyDescent="0.25">
      <c r="B588" s="85">
        <v>21195</v>
      </c>
      <c r="C588" s="85"/>
      <c r="D588" s="85"/>
      <c r="E588" s="85"/>
      <c r="F588" s="85"/>
      <c r="G588" s="85"/>
      <c r="H588" s="85"/>
      <c r="I588" s="85"/>
      <c r="J588" s="85"/>
      <c r="K588" s="85"/>
      <c r="L588" s="85"/>
    </row>
    <row r="589" spans="2:12" x14ac:dyDescent="0.25">
      <c r="B589" s="84">
        <v>21295</v>
      </c>
      <c r="C589" s="84"/>
      <c r="D589" s="84"/>
      <c r="E589" s="84"/>
      <c r="F589" s="84"/>
      <c r="G589" s="84"/>
      <c r="H589" s="84"/>
      <c r="I589" s="84"/>
      <c r="J589" s="84"/>
      <c r="K589" s="84"/>
      <c r="L589" s="84"/>
    </row>
    <row r="590" spans="2:12" x14ac:dyDescent="0.25">
      <c r="B590" s="85">
        <v>21395</v>
      </c>
      <c r="C590" s="85"/>
      <c r="D590" s="85"/>
      <c r="E590" s="85"/>
      <c r="F590" s="85"/>
      <c r="G590" s="85"/>
      <c r="H590" s="85"/>
      <c r="I590" s="85"/>
      <c r="J590" s="85"/>
      <c r="K590" s="85"/>
      <c r="L590" s="85"/>
    </row>
    <row r="591" spans="2:12" x14ac:dyDescent="0.25">
      <c r="B591" s="84">
        <v>21495</v>
      </c>
      <c r="C591" s="84"/>
      <c r="D591" s="84"/>
      <c r="E591" s="84"/>
      <c r="F591" s="84"/>
      <c r="G591" s="84"/>
      <c r="H591" s="84"/>
      <c r="I591" s="84"/>
      <c r="J591" s="84"/>
      <c r="K591" s="84"/>
      <c r="L591" s="84"/>
    </row>
    <row r="592" spans="2:12" x14ac:dyDescent="0.25">
      <c r="B592" s="85">
        <v>21595</v>
      </c>
      <c r="C592" s="85"/>
      <c r="D592" s="85"/>
      <c r="E592" s="85"/>
      <c r="F592" s="85"/>
      <c r="G592" s="85"/>
      <c r="H592" s="85"/>
      <c r="I592" s="85"/>
      <c r="J592" s="85"/>
      <c r="K592" s="85"/>
      <c r="L592" s="85"/>
    </row>
    <row r="593" spans="2:12" x14ac:dyDescent="0.25">
      <c r="B593" s="84">
        <v>21695</v>
      </c>
      <c r="C593" s="84"/>
      <c r="D593" s="84"/>
      <c r="E593" s="84"/>
      <c r="F593" s="84"/>
      <c r="G593" s="84"/>
      <c r="H593" s="84"/>
      <c r="I593" s="84"/>
      <c r="J593" s="84"/>
      <c r="K593" s="84"/>
      <c r="L593" s="84"/>
    </row>
    <row r="594" spans="2:12" x14ac:dyDescent="0.25">
      <c r="B594" s="85">
        <v>21795</v>
      </c>
      <c r="C594" s="85"/>
      <c r="D594" s="85"/>
      <c r="E594" s="85"/>
      <c r="F594" s="85"/>
      <c r="G594" s="85"/>
      <c r="H594" s="85"/>
      <c r="I594" s="85"/>
      <c r="J594" s="85"/>
      <c r="K594" s="85"/>
      <c r="L594" s="85"/>
    </row>
    <row r="595" spans="2:12" x14ac:dyDescent="0.25">
      <c r="B595" s="84">
        <v>21895</v>
      </c>
      <c r="C595" s="84"/>
      <c r="D595" s="84"/>
      <c r="E595" s="84"/>
      <c r="F595" s="84"/>
      <c r="G595" s="84"/>
      <c r="H595" s="84"/>
      <c r="I595" s="84"/>
      <c r="J595" s="84"/>
      <c r="K595" s="84"/>
      <c r="L595" s="84"/>
    </row>
    <row r="596" spans="2:12" x14ac:dyDescent="0.25">
      <c r="B596" s="85">
        <v>21995</v>
      </c>
      <c r="C596" s="85"/>
      <c r="D596" s="85"/>
      <c r="E596" s="85"/>
      <c r="F596" s="85"/>
      <c r="G596" s="85"/>
      <c r="H596" s="85"/>
      <c r="I596" s="85"/>
      <c r="J596" s="85"/>
      <c r="K596" s="85"/>
      <c r="L596" s="85"/>
    </row>
    <row r="597" spans="2:12" x14ac:dyDescent="0.25">
      <c r="B597" s="84">
        <v>22095</v>
      </c>
      <c r="C597" s="84"/>
      <c r="D597" s="84"/>
      <c r="E597" s="84"/>
      <c r="F597" s="84"/>
      <c r="G597" s="84"/>
      <c r="H597" s="84"/>
      <c r="I597" s="84"/>
      <c r="J597" s="84"/>
      <c r="K597" s="84"/>
      <c r="L597" s="84"/>
    </row>
    <row r="598" spans="2:12" x14ac:dyDescent="0.25">
      <c r="B598" s="85">
        <v>22195</v>
      </c>
      <c r="C598" s="85"/>
      <c r="D598" s="85"/>
      <c r="E598" s="85"/>
      <c r="F598" s="85"/>
      <c r="G598" s="85"/>
      <c r="H598" s="85"/>
      <c r="I598" s="85"/>
      <c r="J598" s="85"/>
      <c r="K598" s="85"/>
      <c r="L598" s="85"/>
    </row>
    <row r="599" spans="2:12" x14ac:dyDescent="0.25">
      <c r="B599" s="84">
        <v>22295</v>
      </c>
      <c r="C599" s="84"/>
      <c r="D599" s="84"/>
      <c r="E599" s="84"/>
      <c r="F599" s="84"/>
      <c r="G599" s="84"/>
      <c r="H599" s="84"/>
      <c r="I599" s="84"/>
      <c r="J599" s="84"/>
      <c r="K599" s="84"/>
      <c r="L599" s="84"/>
    </row>
    <row r="600" spans="2:12" x14ac:dyDescent="0.25">
      <c r="B600" s="85">
        <v>22395</v>
      </c>
      <c r="C600" s="85"/>
      <c r="D600" s="85"/>
      <c r="E600" s="85"/>
      <c r="F600" s="85"/>
      <c r="G600" s="85"/>
      <c r="H600" s="85"/>
      <c r="I600" s="85"/>
      <c r="J600" s="85"/>
      <c r="K600" s="85"/>
      <c r="L600" s="85"/>
    </row>
    <row r="601" spans="2:12" x14ac:dyDescent="0.25">
      <c r="B601" s="84">
        <v>22495</v>
      </c>
      <c r="C601" s="84"/>
      <c r="D601" s="84"/>
      <c r="E601" s="84"/>
      <c r="F601" s="84"/>
      <c r="G601" s="84"/>
      <c r="H601" s="84"/>
      <c r="I601" s="84"/>
      <c r="J601" s="84"/>
      <c r="K601" s="84"/>
      <c r="L601" s="84"/>
    </row>
    <row r="602" spans="2:12" x14ac:dyDescent="0.25">
      <c r="B602" s="85">
        <v>22595</v>
      </c>
      <c r="C602" s="85"/>
      <c r="D602" s="85"/>
      <c r="E602" s="85"/>
      <c r="F602" s="85"/>
      <c r="G602" s="85"/>
      <c r="H602" s="85"/>
      <c r="I602" s="85"/>
      <c r="J602" s="85"/>
      <c r="K602" s="85"/>
      <c r="L602" s="85"/>
    </row>
    <row r="603" spans="2:12" x14ac:dyDescent="0.25">
      <c r="B603" s="84">
        <v>22695</v>
      </c>
      <c r="C603" s="84"/>
      <c r="D603" s="84"/>
      <c r="E603" s="84"/>
      <c r="F603" s="84"/>
      <c r="G603" s="84"/>
      <c r="H603" s="84"/>
      <c r="I603" s="84"/>
      <c r="J603" s="84"/>
      <c r="K603" s="84"/>
      <c r="L603" s="84"/>
    </row>
    <row r="604" spans="2:12" x14ac:dyDescent="0.25">
      <c r="B604" s="85">
        <v>22795</v>
      </c>
      <c r="C604" s="85"/>
      <c r="D604" s="85"/>
      <c r="E604" s="85"/>
      <c r="F604" s="85"/>
      <c r="G604" s="85"/>
      <c r="H604" s="85"/>
      <c r="I604" s="85"/>
      <c r="J604" s="85"/>
      <c r="K604" s="85"/>
      <c r="L604" s="85"/>
    </row>
    <row r="605" spans="2:12" x14ac:dyDescent="0.25">
      <c r="B605" s="84">
        <v>22895</v>
      </c>
      <c r="C605" s="84"/>
      <c r="D605" s="84"/>
      <c r="E605" s="84"/>
      <c r="F605" s="84"/>
      <c r="G605" s="84"/>
      <c r="H605" s="84"/>
      <c r="I605" s="84"/>
      <c r="J605" s="84"/>
      <c r="K605" s="84"/>
      <c r="L605" s="84"/>
    </row>
    <row r="606" spans="2:12" x14ac:dyDescent="0.25">
      <c r="B606" s="85">
        <v>22995</v>
      </c>
      <c r="C606" s="85"/>
      <c r="D606" s="85"/>
      <c r="E606" s="85"/>
      <c r="F606" s="85"/>
      <c r="G606" s="85"/>
      <c r="H606" s="85"/>
      <c r="I606" s="85"/>
      <c r="J606" s="85"/>
      <c r="K606" s="85"/>
      <c r="L606" s="85"/>
    </row>
    <row r="607" spans="2:12" x14ac:dyDescent="0.25">
      <c r="B607" s="84">
        <v>23095</v>
      </c>
      <c r="C607" s="84"/>
      <c r="D607" s="84"/>
      <c r="E607" s="84"/>
      <c r="F607" s="84"/>
      <c r="G607" s="84"/>
      <c r="H607" s="84"/>
      <c r="I607" s="84"/>
      <c r="J607" s="84"/>
      <c r="K607" s="84"/>
      <c r="L607" s="84"/>
    </row>
    <row r="608" spans="2:12" x14ac:dyDescent="0.25">
      <c r="B608" s="85">
        <v>23195</v>
      </c>
      <c r="C608" s="85"/>
      <c r="D608" s="85"/>
      <c r="E608" s="85"/>
      <c r="F608" s="85"/>
      <c r="G608" s="85"/>
      <c r="H608" s="85"/>
      <c r="I608" s="85"/>
      <c r="J608" s="85"/>
      <c r="K608" s="85"/>
      <c r="L608" s="85"/>
    </row>
    <row r="609" spans="2:12" x14ac:dyDescent="0.25">
      <c r="B609" s="84">
        <v>23295</v>
      </c>
      <c r="C609" s="84"/>
      <c r="D609" s="84"/>
      <c r="E609" s="84"/>
      <c r="F609" s="84"/>
      <c r="G609" s="84"/>
      <c r="H609" s="84"/>
      <c r="I609" s="84"/>
      <c r="J609" s="84"/>
      <c r="K609" s="84"/>
      <c r="L609" s="84"/>
    </row>
    <row r="610" spans="2:12" x14ac:dyDescent="0.25">
      <c r="B610" s="85">
        <v>23395</v>
      </c>
      <c r="C610" s="85"/>
      <c r="D610" s="85"/>
      <c r="E610" s="85"/>
      <c r="F610" s="85"/>
      <c r="G610" s="85"/>
      <c r="H610" s="85"/>
      <c r="I610" s="85"/>
      <c r="J610" s="85"/>
      <c r="K610" s="85"/>
      <c r="L610" s="85"/>
    </row>
    <row r="611" spans="2:12" x14ac:dyDescent="0.25">
      <c r="B611" s="84">
        <v>23495</v>
      </c>
      <c r="C611" s="84"/>
      <c r="D611" s="84"/>
      <c r="E611" s="84"/>
      <c r="F611" s="84"/>
      <c r="G611" s="84"/>
      <c r="H611" s="84"/>
      <c r="I611" s="84"/>
      <c r="J611" s="84"/>
      <c r="K611" s="84"/>
      <c r="L611" s="84"/>
    </row>
    <row r="612" spans="2:12" x14ac:dyDescent="0.25">
      <c r="B612" s="85">
        <v>23595</v>
      </c>
      <c r="C612" s="85"/>
      <c r="D612" s="85"/>
      <c r="E612" s="85"/>
      <c r="F612" s="85"/>
      <c r="G612" s="85"/>
      <c r="H612" s="85"/>
      <c r="I612" s="85"/>
      <c r="J612" s="85"/>
      <c r="K612" s="85"/>
      <c r="L612" s="85"/>
    </row>
    <row r="613" spans="2:12" x14ac:dyDescent="0.25">
      <c r="B613" s="84">
        <v>23695</v>
      </c>
      <c r="C613" s="84"/>
      <c r="D613" s="84"/>
      <c r="E613" s="84"/>
      <c r="F613" s="84"/>
      <c r="G613" s="84"/>
      <c r="H613" s="84"/>
      <c r="I613" s="84"/>
      <c r="J613" s="84"/>
      <c r="K613" s="84"/>
      <c r="L613" s="84"/>
    </row>
    <row r="614" spans="2:12" x14ac:dyDescent="0.25">
      <c r="B614" s="85">
        <v>23795</v>
      </c>
      <c r="C614" s="85"/>
      <c r="D614" s="85"/>
      <c r="E614" s="85"/>
      <c r="F614" s="85"/>
      <c r="G614" s="85"/>
      <c r="H614" s="85"/>
      <c r="I614" s="85"/>
      <c r="J614" s="85"/>
      <c r="K614" s="85"/>
      <c r="L614" s="85"/>
    </row>
    <row r="615" spans="2:12" x14ac:dyDescent="0.25">
      <c r="B615" s="84">
        <v>23895</v>
      </c>
      <c r="C615" s="84"/>
      <c r="D615" s="84"/>
      <c r="E615" s="84"/>
      <c r="F615" s="84"/>
      <c r="G615" s="84"/>
      <c r="H615" s="84"/>
      <c r="I615" s="84"/>
      <c r="J615" s="84"/>
      <c r="K615" s="84"/>
      <c r="L615" s="84"/>
    </row>
    <row r="616" spans="2:12" x14ac:dyDescent="0.25">
      <c r="B616" s="85">
        <v>23995</v>
      </c>
      <c r="C616" s="85"/>
      <c r="D616" s="85"/>
      <c r="E616" s="85"/>
      <c r="F616" s="85"/>
      <c r="G616" s="85"/>
      <c r="H616" s="85"/>
      <c r="I616" s="85"/>
      <c r="J616" s="85"/>
      <c r="K616" s="85"/>
      <c r="L616" s="85"/>
    </row>
    <row r="617" spans="2:12" x14ac:dyDescent="0.25">
      <c r="B617" s="84">
        <v>24095</v>
      </c>
      <c r="C617" s="84"/>
      <c r="D617" s="84"/>
      <c r="E617" s="84"/>
      <c r="F617" s="84"/>
      <c r="G617" s="84"/>
      <c r="H617" s="84"/>
      <c r="I617" s="84"/>
      <c r="J617" s="84"/>
      <c r="K617" s="84"/>
      <c r="L617" s="84"/>
    </row>
    <row r="618" spans="2:12" x14ac:dyDescent="0.25">
      <c r="B618" s="85">
        <v>24195</v>
      </c>
      <c r="C618" s="85"/>
      <c r="D618" s="85"/>
      <c r="E618" s="85"/>
      <c r="F618" s="85"/>
      <c r="G618" s="85"/>
      <c r="H618" s="85"/>
      <c r="I618" s="85"/>
      <c r="J618" s="85"/>
      <c r="K618" s="85"/>
      <c r="L618" s="85"/>
    </row>
    <row r="619" spans="2:12" x14ac:dyDescent="0.25">
      <c r="B619" s="84">
        <v>24295</v>
      </c>
      <c r="C619" s="84"/>
      <c r="D619" s="84"/>
      <c r="E619" s="84"/>
      <c r="F619" s="84"/>
      <c r="G619" s="84"/>
      <c r="H619" s="84"/>
      <c r="I619" s="84"/>
      <c r="J619" s="84"/>
      <c r="K619" s="84"/>
      <c r="L619" s="84"/>
    </row>
    <row r="620" spans="2:12" x14ac:dyDescent="0.25">
      <c r="B620" s="85">
        <v>24395</v>
      </c>
      <c r="C620" s="85"/>
      <c r="D620" s="85"/>
      <c r="E620" s="85"/>
      <c r="F620" s="85"/>
      <c r="G620" s="85"/>
      <c r="H620" s="85"/>
      <c r="I620" s="85"/>
      <c r="J620" s="85"/>
      <c r="K620" s="85"/>
      <c r="L620" s="85"/>
    </row>
    <row r="621" spans="2:12" x14ac:dyDescent="0.25">
      <c r="B621" s="84">
        <v>24495</v>
      </c>
      <c r="C621" s="84"/>
      <c r="D621" s="84"/>
      <c r="E621" s="84"/>
      <c r="F621" s="84"/>
      <c r="G621" s="84"/>
      <c r="H621" s="84"/>
      <c r="I621" s="84"/>
      <c r="J621" s="84"/>
      <c r="K621" s="84"/>
      <c r="L621" s="84"/>
    </row>
    <row r="622" spans="2:12" x14ac:dyDescent="0.25">
      <c r="B622" s="85">
        <v>24595</v>
      </c>
      <c r="C622" s="85"/>
      <c r="D622" s="85"/>
      <c r="E622" s="85"/>
      <c r="F622" s="85"/>
      <c r="G622" s="85"/>
      <c r="H622" s="85"/>
      <c r="I622" s="85"/>
      <c r="J622" s="85"/>
      <c r="K622" s="85"/>
      <c r="L622" s="85"/>
    </row>
    <row r="623" spans="2:12" x14ac:dyDescent="0.25">
      <c r="B623" s="84">
        <v>24695</v>
      </c>
      <c r="C623" s="84"/>
      <c r="D623" s="84"/>
      <c r="E623" s="84"/>
      <c r="F623" s="84"/>
      <c r="G623" s="84"/>
      <c r="H623" s="84"/>
      <c r="I623" s="84"/>
      <c r="J623" s="84"/>
      <c r="K623" s="84"/>
      <c r="L623" s="84"/>
    </row>
    <row r="624" spans="2:12" x14ac:dyDescent="0.25">
      <c r="B624" s="85">
        <v>24795</v>
      </c>
      <c r="C624" s="85"/>
      <c r="D624" s="85"/>
      <c r="E624" s="85"/>
      <c r="F624" s="85"/>
      <c r="G624" s="85"/>
      <c r="H624" s="85"/>
      <c r="I624" s="85"/>
      <c r="J624" s="85"/>
      <c r="K624" s="85"/>
      <c r="L624" s="85"/>
    </row>
    <row r="625" spans="2:12" x14ac:dyDescent="0.25">
      <c r="B625" s="84">
        <v>24895</v>
      </c>
      <c r="C625" s="84"/>
      <c r="D625" s="84"/>
      <c r="E625" s="84"/>
      <c r="F625" s="84"/>
      <c r="G625" s="84"/>
      <c r="H625" s="84"/>
      <c r="I625" s="84"/>
      <c r="J625" s="84"/>
      <c r="K625" s="84"/>
      <c r="L625" s="84"/>
    </row>
    <row r="626" spans="2:12" x14ac:dyDescent="0.25">
      <c r="B626" s="85">
        <v>24995</v>
      </c>
      <c r="C626" s="85"/>
      <c r="D626" s="85"/>
      <c r="E626" s="85"/>
      <c r="F626" s="85"/>
      <c r="G626" s="85"/>
      <c r="H626" s="85"/>
      <c r="I626" s="85"/>
      <c r="J626" s="85"/>
      <c r="K626" s="85"/>
      <c r="L626" s="85"/>
    </row>
    <row r="627" spans="2:12" x14ac:dyDescent="0.25">
      <c r="B627" s="84">
        <v>25095</v>
      </c>
      <c r="C627" s="84"/>
      <c r="D627" s="84"/>
      <c r="E627" s="84"/>
      <c r="F627" s="84"/>
      <c r="G627" s="84"/>
      <c r="H627" s="84"/>
      <c r="I627" s="84"/>
      <c r="J627" s="84"/>
      <c r="K627" s="84"/>
      <c r="L627" s="84"/>
    </row>
    <row r="628" spans="2:12" x14ac:dyDescent="0.25">
      <c r="B628" s="85">
        <v>25195</v>
      </c>
      <c r="C628" s="85"/>
      <c r="D628" s="85"/>
      <c r="E628" s="85"/>
      <c r="F628" s="85"/>
      <c r="G628" s="85"/>
      <c r="H628" s="85"/>
      <c r="I628" s="85"/>
      <c r="J628" s="85"/>
      <c r="K628" s="85"/>
      <c r="L628" s="85"/>
    </row>
    <row r="629" spans="2:12" x14ac:dyDescent="0.25">
      <c r="B629" s="84">
        <v>25295</v>
      </c>
      <c r="C629" s="84"/>
      <c r="D629" s="84"/>
      <c r="E629" s="84"/>
      <c r="F629" s="84"/>
      <c r="G629" s="84"/>
      <c r="H629" s="84"/>
      <c r="I629" s="84"/>
      <c r="J629" s="84"/>
      <c r="K629" s="84"/>
      <c r="L629" s="84"/>
    </row>
    <row r="630" spans="2:12" x14ac:dyDescent="0.25">
      <c r="B630" s="85">
        <v>25395</v>
      </c>
      <c r="C630" s="85"/>
      <c r="D630" s="85"/>
      <c r="E630" s="85"/>
      <c r="F630" s="85"/>
      <c r="G630" s="85"/>
      <c r="H630" s="85"/>
      <c r="I630" s="85"/>
      <c r="J630" s="85"/>
      <c r="K630" s="85"/>
      <c r="L630" s="85"/>
    </row>
    <row r="631" spans="2:12" x14ac:dyDescent="0.25">
      <c r="B631" s="84">
        <v>25495</v>
      </c>
      <c r="C631" s="84"/>
      <c r="D631" s="84"/>
      <c r="E631" s="84"/>
      <c r="F631" s="84"/>
      <c r="G631" s="84"/>
      <c r="H631" s="84"/>
      <c r="I631" s="84"/>
      <c r="J631" s="84"/>
      <c r="K631" s="84"/>
      <c r="L631" s="84"/>
    </row>
    <row r="632" spans="2:12" x14ac:dyDescent="0.25">
      <c r="B632" s="85">
        <v>25595</v>
      </c>
      <c r="C632" s="85"/>
      <c r="D632" s="85"/>
      <c r="E632" s="85"/>
      <c r="F632" s="85"/>
      <c r="G632" s="85"/>
      <c r="H632" s="85"/>
      <c r="I632" s="85"/>
      <c r="J632" s="85"/>
      <c r="K632" s="85"/>
      <c r="L632" s="85"/>
    </row>
    <row r="633" spans="2:12" x14ac:dyDescent="0.25">
      <c r="B633" s="84">
        <v>25695</v>
      </c>
      <c r="C633" s="84"/>
      <c r="D633" s="84"/>
      <c r="E633" s="84"/>
      <c r="F633" s="84"/>
      <c r="G633" s="84"/>
      <c r="H633" s="84"/>
      <c r="I633" s="84"/>
      <c r="J633" s="84"/>
      <c r="K633" s="84"/>
      <c r="L633" s="84"/>
    </row>
    <row r="634" spans="2:12" x14ac:dyDescent="0.25">
      <c r="B634" s="85">
        <v>25795</v>
      </c>
      <c r="C634" s="85"/>
      <c r="D634" s="85"/>
      <c r="E634" s="85"/>
      <c r="F634" s="85"/>
      <c r="G634" s="85"/>
      <c r="H634" s="85"/>
      <c r="I634" s="85"/>
      <c r="J634" s="85"/>
      <c r="K634" s="85"/>
      <c r="L634" s="85"/>
    </row>
    <row r="635" spans="2:12" x14ac:dyDescent="0.25">
      <c r="B635" s="84">
        <v>25895</v>
      </c>
      <c r="C635" s="84"/>
      <c r="D635" s="84"/>
      <c r="E635" s="84"/>
      <c r="F635" s="84"/>
      <c r="G635" s="84"/>
      <c r="H635" s="84"/>
      <c r="I635" s="84"/>
      <c r="J635" s="84"/>
      <c r="K635" s="84"/>
      <c r="L635" s="84"/>
    </row>
    <row r="636" spans="2:12" x14ac:dyDescent="0.25">
      <c r="B636" s="85">
        <v>25995</v>
      </c>
      <c r="C636" s="85"/>
      <c r="D636" s="85"/>
      <c r="E636" s="85"/>
      <c r="F636" s="85"/>
      <c r="G636" s="85"/>
      <c r="H636" s="85"/>
      <c r="I636" s="85"/>
      <c r="J636" s="85"/>
      <c r="K636" s="85"/>
      <c r="L636" s="85"/>
    </row>
    <row r="637" spans="2:12" x14ac:dyDescent="0.25">
      <c r="B637" s="84">
        <v>26095</v>
      </c>
      <c r="C637" s="84"/>
      <c r="D637" s="84"/>
      <c r="E637" s="84"/>
      <c r="F637" s="84"/>
      <c r="G637" s="84"/>
      <c r="H637" s="84"/>
      <c r="I637" s="84"/>
      <c r="J637" s="84"/>
      <c r="K637" s="84"/>
      <c r="L637" s="84"/>
    </row>
    <row r="638" spans="2:12" x14ac:dyDescent="0.25">
      <c r="B638" s="85">
        <v>26195</v>
      </c>
      <c r="C638" s="85"/>
      <c r="D638" s="85"/>
      <c r="E638" s="85"/>
      <c r="F638" s="85"/>
      <c r="G638" s="85"/>
      <c r="H638" s="85"/>
      <c r="I638" s="85"/>
      <c r="J638" s="85"/>
      <c r="K638" s="85"/>
      <c r="L638" s="85"/>
    </row>
    <row r="639" spans="2:12" x14ac:dyDescent="0.25">
      <c r="B639" s="84">
        <v>26295</v>
      </c>
      <c r="C639" s="84"/>
      <c r="D639" s="84"/>
      <c r="E639" s="84"/>
      <c r="F639" s="84"/>
      <c r="G639" s="84"/>
      <c r="H639" s="84"/>
      <c r="I639" s="84"/>
      <c r="J639" s="84"/>
      <c r="K639" s="84"/>
      <c r="L639" s="84"/>
    </row>
    <row r="640" spans="2:12" x14ac:dyDescent="0.25">
      <c r="B640" s="85">
        <v>26395</v>
      </c>
      <c r="C640" s="85"/>
      <c r="D640" s="85"/>
      <c r="E640" s="85"/>
      <c r="F640" s="85"/>
      <c r="G640" s="85"/>
      <c r="H640" s="85"/>
      <c r="I640" s="85"/>
      <c r="J640" s="85"/>
      <c r="K640" s="85"/>
      <c r="L640" s="85"/>
    </row>
    <row r="641" spans="2:12" x14ac:dyDescent="0.25">
      <c r="B641" s="84">
        <v>26495</v>
      </c>
      <c r="C641" s="84"/>
      <c r="D641" s="84"/>
      <c r="E641" s="84"/>
      <c r="F641" s="84"/>
      <c r="G641" s="84"/>
      <c r="H641" s="84"/>
      <c r="I641" s="84"/>
      <c r="J641" s="84"/>
      <c r="K641" s="84"/>
      <c r="L641" s="84"/>
    </row>
    <row r="642" spans="2:12" x14ac:dyDescent="0.25">
      <c r="B642" s="85">
        <v>26595</v>
      </c>
      <c r="C642" s="85"/>
      <c r="D642" s="85"/>
      <c r="E642" s="85"/>
      <c r="F642" s="85"/>
      <c r="G642" s="85"/>
      <c r="H642" s="85"/>
      <c r="I642" s="85"/>
      <c r="J642" s="85"/>
      <c r="K642" s="85"/>
      <c r="L642" s="85"/>
    </row>
    <row r="643" spans="2:12" x14ac:dyDescent="0.25">
      <c r="B643" s="84">
        <v>26695</v>
      </c>
      <c r="C643" s="84"/>
      <c r="D643" s="84"/>
      <c r="E643" s="84"/>
      <c r="F643" s="84"/>
      <c r="G643" s="84"/>
      <c r="H643" s="84"/>
      <c r="I643" s="84"/>
      <c r="J643" s="84"/>
      <c r="K643" s="84"/>
      <c r="L643" s="84"/>
    </row>
    <row r="644" spans="2:12" x14ac:dyDescent="0.25">
      <c r="B644" s="85">
        <v>26795</v>
      </c>
      <c r="C644" s="85"/>
      <c r="D644" s="85"/>
      <c r="E644" s="85"/>
      <c r="F644" s="85"/>
      <c r="G644" s="85"/>
      <c r="H644" s="85"/>
      <c r="I644" s="85"/>
      <c r="J644" s="85"/>
      <c r="K644" s="85"/>
      <c r="L644" s="85"/>
    </row>
    <row r="645" spans="2:12" x14ac:dyDescent="0.25">
      <c r="B645" s="84">
        <v>26895</v>
      </c>
      <c r="C645" s="84"/>
      <c r="D645" s="84"/>
      <c r="E645" s="84"/>
      <c r="F645" s="84"/>
      <c r="G645" s="84"/>
      <c r="H645" s="84"/>
      <c r="I645" s="84"/>
      <c r="J645" s="84"/>
      <c r="K645" s="84"/>
      <c r="L645" s="84"/>
    </row>
    <row r="646" spans="2:12" x14ac:dyDescent="0.25">
      <c r="B646" s="85">
        <v>26995</v>
      </c>
      <c r="C646" s="85"/>
      <c r="D646" s="85"/>
      <c r="E646" s="85"/>
      <c r="F646" s="85"/>
      <c r="G646" s="85"/>
      <c r="H646" s="85"/>
      <c r="I646" s="85"/>
      <c r="J646" s="85"/>
      <c r="K646" s="85"/>
      <c r="L646" s="85"/>
    </row>
    <row r="647" spans="2:12" x14ac:dyDescent="0.25">
      <c r="B647" s="84">
        <v>27095</v>
      </c>
      <c r="C647" s="84"/>
      <c r="D647" s="84"/>
      <c r="E647" s="84"/>
      <c r="F647" s="84"/>
      <c r="G647" s="84"/>
      <c r="H647" s="84"/>
      <c r="I647" s="84"/>
      <c r="J647" s="84"/>
      <c r="K647" s="84"/>
      <c r="L647" s="84"/>
    </row>
    <row r="648" spans="2:12" x14ac:dyDescent="0.25">
      <c r="B648" s="85">
        <v>27195</v>
      </c>
      <c r="C648" s="85"/>
      <c r="D648" s="85"/>
      <c r="E648" s="85"/>
      <c r="F648" s="85"/>
      <c r="G648" s="85"/>
      <c r="H648" s="85"/>
      <c r="I648" s="85"/>
      <c r="J648" s="85"/>
      <c r="K648" s="85"/>
      <c r="L648" s="85"/>
    </row>
    <row r="649" spans="2:12" x14ac:dyDescent="0.25">
      <c r="B649" s="84">
        <v>27295</v>
      </c>
      <c r="C649" s="84"/>
      <c r="D649" s="84"/>
      <c r="E649" s="84"/>
      <c r="F649" s="84"/>
      <c r="G649" s="84"/>
      <c r="H649" s="84"/>
      <c r="I649" s="84"/>
      <c r="J649" s="84"/>
      <c r="K649" s="84"/>
      <c r="L649" s="84"/>
    </row>
    <row r="650" spans="2:12" x14ac:dyDescent="0.25">
      <c r="B650" s="85">
        <v>27395</v>
      </c>
      <c r="C650" s="85"/>
      <c r="D650" s="85"/>
      <c r="E650" s="85"/>
      <c r="F650" s="85"/>
      <c r="G650" s="85"/>
      <c r="H650" s="85"/>
      <c r="I650" s="85"/>
      <c r="J650" s="85"/>
      <c r="K650" s="85"/>
      <c r="L650" s="85"/>
    </row>
    <row r="651" spans="2:12" x14ac:dyDescent="0.25">
      <c r="B651" s="84">
        <v>27495</v>
      </c>
      <c r="C651" s="84"/>
      <c r="D651" s="84"/>
      <c r="E651" s="84"/>
      <c r="F651" s="84"/>
      <c r="G651" s="84"/>
      <c r="H651" s="84"/>
      <c r="I651" s="84"/>
      <c r="J651" s="84"/>
      <c r="K651" s="84"/>
      <c r="L651" s="84"/>
    </row>
    <row r="652" spans="2:12" x14ac:dyDescent="0.25">
      <c r="B652" s="85">
        <v>27595</v>
      </c>
      <c r="C652" s="85"/>
      <c r="D652" s="85"/>
      <c r="E652" s="85"/>
      <c r="F652" s="85"/>
      <c r="G652" s="85"/>
      <c r="H652" s="85"/>
      <c r="I652" s="85"/>
      <c r="J652" s="85"/>
      <c r="K652" s="85"/>
      <c r="L652" s="85"/>
    </row>
    <row r="653" spans="2:12" x14ac:dyDescent="0.25">
      <c r="B653" s="84">
        <v>27695</v>
      </c>
      <c r="C653" s="84"/>
      <c r="D653" s="84"/>
      <c r="E653" s="84"/>
      <c r="F653" s="84"/>
      <c r="G653" s="84"/>
      <c r="H653" s="84"/>
      <c r="I653" s="84"/>
      <c r="J653" s="84"/>
      <c r="K653" s="84"/>
      <c r="L653" s="84"/>
    </row>
    <row r="654" spans="2:12" x14ac:dyDescent="0.25">
      <c r="B654" s="85">
        <v>27795</v>
      </c>
      <c r="C654" s="85"/>
      <c r="D654" s="85"/>
      <c r="E654" s="85"/>
      <c r="F654" s="85"/>
      <c r="G654" s="85"/>
      <c r="H654" s="85"/>
      <c r="I654" s="85"/>
      <c r="J654" s="85"/>
      <c r="K654" s="85"/>
      <c r="L654" s="85"/>
    </row>
    <row r="655" spans="2:12" x14ac:dyDescent="0.25">
      <c r="B655" s="84">
        <v>27895</v>
      </c>
      <c r="C655" s="84"/>
      <c r="D655" s="84"/>
      <c r="E655" s="84"/>
      <c r="F655" s="84"/>
      <c r="G655" s="84"/>
      <c r="H655" s="84"/>
      <c r="I655" s="84"/>
      <c r="J655" s="84"/>
      <c r="K655" s="84"/>
      <c r="L655" s="84"/>
    </row>
    <row r="656" spans="2:12" x14ac:dyDescent="0.25">
      <c r="B656" s="85">
        <v>27995</v>
      </c>
      <c r="C656" s="85"/>
      <c r="D656" s="85"/>
      <c r="E656" s="85"/>
      <c r="F656" s="85"/>
      <c r="G656" s="85"/>
      <c r="H656" s="85"/>
      <c r="I656" s="85"/>
      <c r="J656" s="85"/>
      <c r="K656" s="85"/>
      <c r="L656" s="85"/>
    </row>
    <row r="657" spans="2:12" x14ac:dyDescent="0.25">
      <c r="B657" s="84">
        <v>28095</v>
      </c>
      <c r="C657" s="84"/>
      <c r="D657" s="84"/>
      <c r="E657" s="84"/>
      <c r="F657" s="84"/>
      <c r="G657" s="84"/>
      <c r="H657" s="84"/>
      <c r="I657" s="84"/>
      <c r="J657" s="84"/>
      <c r="K657" s="84"/>
      <c r="L657" s="84"/>
    </row>
    <row r="658" spans="2:12" x14ac:dyDescent="0.25">
      <c r="B658" s="85">
        <v>28195</v>
      </c>
      <c r="C658" s="85"/>
      <c r="D658" s="85"/>
      <c r="E658" s="85"/>
      <c r="F658" s="85"/>
      <c r="G658" s="85"/>
      <c r="H658" s="85"/>
      <c r="I658" s="85"/>
      <c r="J658" s="85"/>
      <c r="K658" s="85"/>
      <c r="L658" s="85"/>
    </row>
    <row r="659" spans="2:12" x14ac:dyDescent="0.25">
      <c r="B659" s="84">
        <v>28295</v>
      </c>
      <c r="C659" s="84"/>
      <c r="D659" s="84"/>
      <c r="E659" s="84"/>
      <c r="F659" s="84"/>
      <c r="G659" s="84"/>
      <c r="H659" s="84"/>
      <c r="I659" s="84"/>
      <c r="J659" s="84"/>
      <c r="K659" s="84"/>
      <c r="L659" s="84"/>
    </row>
    <row r="660" spans="2:12" x14ac:dyDescent="0.25">
      <c r="B660" s="85">
        <v>28395</v>
      </c>
      <c r="C660" s="85"/>
      <c r="D660" s="85"/>
      <c r="E660" s="85"/>
      <c r="F660" s="85"/>
      <c r="G660" s="85"/>
      <c r="H660" s="85"/>
      <c r="I660" s="85"/>
      <c r="J660" s="85"/>
      <c r="K660" s="85"/>
      <c r="L660" s="85"/>
    </row>
    <row r="661" spans="2:12" x14ac:dyDescent="0.25">
      <c r="B661" s="84">
        <v>28495</v>
      </c>
      <c r="C661" s="84"/>
      <c r="D661" s="84"/>
      <c r="E661" s="84"/>
      <c r="F661" s="84"/>
      <c r="G661" s="84"/>
      <c r="H661" s="84"/>
      <c r="I661" s="84"/>
      <c r="J661" s="84"/>
      <c r="K661" s="84"/>
      <c r="L661" s="84"/>
    </row>
    <row r="662" spans="2:12" x14ac:dyDescent="0.25">
      <c r="B662" s="85">
        <v>28595</v>
      </c>
      <c r="C662" s="85"/>
      <c r="D662" s="85"/>
      <c r="E662" s="85"/>
      <c r="F662" s="85"/>
      <c r="G662" s="85"/>
      <c r="H662" s="85"/>
      <c r="I662" s="85"/>
      <c r="J662" s="85"/>
      <c r="K662" s="85"/>
      <c r="L662" s="85"/>
    </row>
    <row r="663" spans="2:12" x14ac:dyDescent="0.25">
      <c r="B663" s="84">
        <v>28695</v>
      </c>
      <c r="C663" s="84"/>
      <c r="D663" s="84"/>
      <c r="E663" s="84"/>
      <c r="F663" s="84"/>
      <c r="G663" s="84"/>
      <c r="H663" s="84"/>
      <c r="I663" s="84"/>
      <c r="J663" s="84"/>
      <c r="K663" s="84"/>
      <c r="L663" s="84"/>
    </row>
    <row r="664" spans="2:12" x14ac:dyDescent="0.25">
      <c r="B664" s="85">
        <v>28795</v>
      </c>
      <c r="C664" s="85"/>
      <c r="D664" s="85"/>
      <c r="E664" s="85"/>
      <c r="F664" s="85"/>
      <c r="G664" s="85"/>
      <c r="H664" s="85"/>
      <c r="I664" s="85"/>
      <c r="J664" s="85"/>
      <c r="K664" s="85"/>
      <c r="L664" s="85"/>
    </row>
    <row r="665" spans="2:12" x14ac:dyDescent="0.25">
      <c r="B665" s="84">
        <v>28895</v>
      </c>
      <c r="C665" s="84"/>
      <c r="D665" s="84"/>
      <c r="E665" s="84"/>
      <c r="F665" s="84"/>
      <c r="G665" s="84"/>
      <c r="H665" s="84"/>
      <c r="I665" s="84"/>
      <c r="J665" s="84"/>
      <c r="K665" s="84"/>
      <c r="L665" s="84"/>
    </row>
    <row r="666" spans="2:12" x14ac:dyDescent="0.25">
      <c r="B666" s="85">
        <v>28995</v>
      </c>
      <c r="C666" s="85"/>
      <c r="D666" s="85"/>
      <c r="E666" s="85"/>
      <c r="F666" s="85"/>
      <c r="G666" s="85"/>
      <c r="H666" s="85"/>
      <c r="I666" s="85"/>
      <c r="J666" s="85"/>
      <c r="K666" s="85"/>
      <c r="L666" s="85"/>
    </row>
    <row r="667" spans="2:12" x14ac:dyDescent="0.25">
      <c r="B667" s="84">
        <v>29095</v>
      </c>
      <c r="C667" s="84"/>
      <c r="D667" s="84"/>
      <c r="E667" s="84"/>
      <c r="F667" s="84"/>
      <c r="G667" s="84"/>
      <c r="H667" s="84"/>
      <c r="I667" s="84"/>
      <c r="J667" s="84"/>
      <c r="K667" s="84"/>
      <c r="L667" s="84"/>
    </row>
    <row r="668" spans="2:12" x14ac:dyDescent="0.25">
      <c r="B668" s="85">
        <v>29195</v>
      </c>
      <c r="C668" s="85"/>
      <c r="D668" s="85"/>
      <c r="E668" s="85"/>
      <c r="F668" s="85"/>
      <c r="G668" s="85"/>
      <c r="H668" s="85"/>
      <c r="I668" s="85"/>
      <c r="J668" s="85"/>
      <c r="K668" s="85"/>
      <c r="L668" s="85"/>
    </row>
    <row r="669" spans="2:12" x14ac:dyDescent="0.25">
      <c r="B669" s="84">
        <v>29295</v>
      </c>
      <c r="C669" s="84"/>
      <c r="D669" s="84"/>
      <c r="E669" s="84"/>
      <c r="F669" s="84"/>
      <c r="G669" s="84"/>
      <c r="H669" s="84"/>
      <c r="I669" s="84"/>
      <c r="J669" s="84"/>
      <c r="K669" s="84"/>
      <c r="L669" s="84"/>
    </row>
    <row r="670" spans="2:12" x14ac:dyDescent="0.25">
      <c r="B670" s="85">
        <v>29395</v>
      </c>
      <c r="C670" s="85"/>
      <c r="D670" s="85"/>
      <c r="E670" s="85"/>
      <c r="F670" s="85"/>
      <c r="G670" s="85"/>
      <c r="H670" s="85"/>
      <c r="I670" s="85"/>
      <c r="J670" s="85"/>
      <c r="K670" s="85"/>
      <c r="L670" s="85"/>
    </row>
    <row r="671" spans="2:12" x14ac:dyDescent="0.25">
      <c r="B671" s="84">
        <v>29495</v>
      </c>
      <c r="C671" s="84"/>
      <c r="D671" s="84"/>
      <c r="E671" s="84"/>
      <c r="F671" s="84"/>
      <c r="G671" s="84"/>
      <c r="H671" s="84"/>
      <c r="I671" s="84"/>
      <c r="J671" s="84"/>
      <c r="K671" s="84"/>
      <c r="L671" s="84"/>
    </row>
    <row r="672" spans="2:12" x14ac:dyDescent="0.25">
      <c r="B672" s="85">
        <v>29595</v>
      </c>
      <c r="C672" s="85"/>
      <c r="D672" s="85"/>
      <c r="E672" s="85"/>
      <c r="F672" s="85"/>
      <c r="G672" s="85"/>
      <c r="H672" s="85"/>
      <c r="I672" s="85"/>
      <c r="J672" s="85"/>
      <c r="K672" s="85"/>
      <c r="L672" s="85"/>
    </row>
    <row r="673" spans="2:12" x14ac:dyDescent="0.25">
      <c r="B673" s="84">
        <v>29695</v>
      </c>
      <c r="C673" s="84"/>
      <c r="D673" s="84"/>
      <c r="E673" s="84"/>
      <c r="F673" s="84"/>
      <c r="G673" s="84"/>
      <c r="H673" s="84"/>
      <c r="I673" s="84"/>
      <c r="J673" s="84"/>
      <c r="K673" s="84"/>
      <c r="L673" s="84"/>
    </row>
    <row r="674" spans="2:12" x14ac:dyDescent="0.25">
      <c r="B674" s="85">
        <v>29795</v>
      </c>
      <c r="C674" s="85"/>
      <c r="D674" s="85"/>
      <c r="E674" s="85"/>
      <c r="F674" s="85"/>
      <c r="G674" s="85"/>
      <c r="H674" s="85"/>
      <c r="I674" s="85"/>
      <c r="J674" s="85"/>
      <c r="K674" s="85"/>
      <c r="L674" s="85"/>
    </row>
    <row r="675" spans="2:12" x14ac:dyDescent="0.25">
      <c r="B675" s="84">
        <v>29895</v>
      </c>
      <c r="C675" s="84"/>
      <c r="D675" s="84"/>
      <c r="E675" s="84"/>
      <c r="F675" s="84"/>
      <c r="G675" s="84"/>
      <c r="H675" s="84"/>
      <c r="I675" s="84"/>
      <c r="J675" s="84"/>
      <c r="K675" s="84"/>
      <c r="L675" s="84"/>
    </row>
    <row r="676" spans="2:12" x14ac:dyDescent="0.25">
      <c r="B676" s="85">
        <v>29995</v>
      </c>
      <c r="C676" s="85"/>
      <c r="D676" s="85"/>
      <c r="E676" s="85"/>
      <c r="F676" s="85"/>
      <c r="G676" s="85"/>
      <c r="H676" s="85"/>
      <c r="I676" s="85"/>
      <c r="J676" s="85"/>
      <c r="K676" s="85"/>
      <c r="L676" s="85"/>
    </row>
    <row r="677" spans="2:12" x14ac:dyDescent="0.25">
      <c r="B677" s="84">
        <v>30095</v>
      </c>
      <c r="C677" s="84"/>
      <c r="D677" s="84"/>
      <c r="E677" s="84"/>
      <c r="F677" s="84"/>
      <c r="G677" s="84"/>
      <c r="H677" s="84"/>
      <c r="I677" s="84"/>
      <c r="J677" s="84"/>
      <c r="K677" s="84"/>
      <c r="L677" s="84"/>
    </row>
    <row r="678" spans="2:12" x14ac:dyDescent="0.25">
      <c r="B678" s="85">
        <v>30195</v>
      </c>
      <c r="C678" s="85"/>
      <c r="D678" s="85"/>
      <c r="E678" s="85"/>
      <c r="F678" s="85"/>
      <c r="G678" s="85"/>
      <c r="H678" s="85"/>
      <c r="I678" s="85"/>
      <c r="J678" s="85"/>
      <c r="K678" s="85"/>
      <c r="L678" s="85"/>
    </row>
    <row r="679" spans="2:12" x14ac:dyDescent="0.25">
      <c r="B679" s="84">
        <v>30295</v>
      </c>
      <c r="C679" s="84"/>
      <c r="D679" s="84"/>
      <c r="E679" s="84"/>
      <c r="F679" s="84"/>
      <c r="G679" s="84"/>
      <c r="H679" s="84"/>
      <c r="I679" s="84"/>
      <c r="J679" s="84"/>
      <c r="K679" s="84"/>
      <c r="L679" s="84"/>
    </row>
    <row r="680" spans="2:12" x14ac:dyDescent="0.25">
      <c r="B680" s="85">
        <v>30395</v>
      </c>
      <c r="C680" s="85"/>
      <c r="D680" s="85"/>
      <c r="E680" s="85"/>
      <c r="F680" s="85"/>
      <c r="G680" s="85"/>
      <c r="H680" s="85"/>
      <c r="I680" s="85"/>
      <c r="J680" s="85"/>
      <c r="K680" s="85"/>
      <c r="L680" s="85"/>
    </row>
    <row r="681" spans="2:12" x14ac:dyDescent="0.25">
      <c r="B681" s="84">
        <v>30495</v>
      </c>
      <c r="C681" s="84"/>
      <c r="D681" s="84"/>
      <c r="E681" s="84"/>
      <c r="F681" s="84"/>
      <c r="G681" s="84"/>
      <c r="H681" s="84"/>
      <c r="I681" s="84"/>
      <c r="J681" s="84"/>
      <c r="K681" s="84"/>
      <c r="L681" s="84"/>
    </row>
    <row r="682" spans="2:12" x14ac:dyDescent="0.25">
      <c r="B682" s="85">
        <v>30595</v>
      </c>
      <c r="C682" s="85"/>
      <c r="D682" s="85"/>
      <c r="E682" s="85"/>
      <c r="F682" s="85"/>
      <c r="G682" s="85"/>
      <c r="H682" s="85"/>
      <c r="I682" s="85"/>
      <c r="J682" s="85"/>
      <c r="K682" s="85"/>
      <c r="L682" s="85"/>
    </row>
    <row r="683" spans="2:12" x14ac:dyDescent="0.25">
      <c r="B683" s="84">
        <v>30695</v>
      </c>
      <c r="C683" s="84"/>
      <c r="D683" s="84"/>
      <c r="E683" s="84"/>
      <c r="F683" s="84"/>
      <c r="G683" s="84"/>
      <c r="H683" s="84"/>
      <c r="I683" s="84"/>
      <c r="J683" s="84"/>
      <c r="K683" s="84"/>
      <c r="L683" s="84"/>
    </row>
    <row r="684" spans="2:12" x14ac:dyDescent="0.25">
      <c r="B684" s="85">
        <v>30795</v>
      </c>
      <c r="C684" s="85"/>
      <c r="D684" s="85"/>
      <c r="E684" s="85"/>
      <c r="F684" s="85"/>
      <c r="G684" s="85"/>
      <c r="H684" s="85"/>
      <c r="I684" s="85"/>
      <c r="J684" s="85"/>
      <c r="K684" s="85"/>
      <c r="L684" s="85"/>
    </row>
    <row r="685" spans="2:12" x14ac:dyDescent="0.25">
      <c r="B685" s="84">
        <v>30895</v>
      </c>
      <c r="C685" s="84"/>
      <c r="D685" s="84"/>
      <c r="E685" s="84"/>
      <c r="F685" s="84"/>
      <c r="G685" s="84"/>
      <c r="H685" s="84"/>
      <c r="I685" s="84"/>
      <c r="J685" s="84"/>
      <c r="K685" s="84"/>
      <c r="L685" s="84"/>
    </row>
    <row r="686" spans="2:12" x14ac:dyDescent="0.25">
      <c r="B686" s="85">
        <v>30995</v>
      </c>
      <c r="C686" s="85"/>
      <c r="D686" s="85"/>
      <c r="E686" s="85"/>
      <c r="F686" s="85"/>
      <c r="G686" s="85"/>
      <c r="H686" s="85"/>
      <c r="I686" s="85"/>
      <c r="J686" s="85"/>
      <c r="K686" s="85"/>
      <c r="L686" s="85"/>
    </row>
    <row r="687" spans="2:12" x14ac:dyDescent="0.25">
      <c r="B687" s="84">
        <v>31095</v>
      </c>
      <c r="C687" s="84"/>
      <c r="D687" s="84"/>
      <c r="E687" s="84"/>
      <c r="F687" s="84"/>
      <c r="G687" s="84"/>
      <c r="H687" s="84"/>
      <c r="I687" s="84"/>
      <c r="J687" s="84"/>
      <c r="K687" s="84"/>
      <c r="L687" s="84"/>
    </row>
    <row r="688" spans="2:12" x14ac:dyDescent="0.25">
      <c r="B688" s="85">
        <v>31195</v>
      </c>
      <c r="C688" s="85"/>
      <c r="D688" s="85"/>
      <c r="E688" s="85"/>
      <c r="F688" s="85"/>
      <c r="G688" s="85"/>
      <c r="H688" s="85"/>
      <c r="I688" s="85"/>
      <c r="J688" s="85"/>
      <c r="K688" s="85"/>
      <c r="L688" s="85"/>
    </row>
    <row r="689" spans="2:12" x14ac:dyDescent="0.25">
      <c r="B689" s="84">
        <v>31295</v>
      </c>
      <c r="C689" s="84"/>
      <c r="D689" s="84"/>
      <c r="E689" s="84"/>
      <c r="F689" s="84"/>
      <c r="G689" s="84"/>
      <c r="H689" s="84"/>
      <c r="I689" s="84"/>
      <c r="J689" s="84"/>
      <c r="K689" s="84"/>
      <c r="L689" s="84"/>
    </row>
    <row r="690" spans="2:12" x14ac:dyDescent="0.25">
      <c r="B690" s="85">
        <v>31395</v>
      </c>
      <c r="C690" s="85"/>
      <c r="D690" s="85"/>
      <c r="E690" s="85"/>
      <c r="F690" s="85"/>
      <c r="G690" s="85"/>
      <c r="H690" s="85"/>
      <c r="I690" s="85"/>
      <c r="J690" s="85"/>
      <c r="K690" s="85"/>
      <c r="L690" s="85"/>
    </row>
    <row r="691" spans="2:12" x14ac:dyDescent="0.25">
      <c r="B691" s="84">
        <v>31495</v>
      </c>
      <c r="C691" s="84"/>
      <c r="D691" s="84"/>
      <c r="E691" s="84"/>
      <c r="F691" s="84"/>
      <c r="G691" s="84"/>
      <c r="H691" s="84"/>
      <c r="I691" s="84"/>
      <c r="J691" s="84"/>
      <c r="K691" s="84"/>
      <c r="L691" s="84"/>
    </row>
    <row r="692" spans="2:12" x14ac:dyDescent="0.25">
      <c r="B692" s="85">
        <v>31595</v>
      </c>
      <c r="C692" s="85"/>
      <c r="D692" s="85"/>
      <c r="E692" s="85"/>
      <c r="F692" s="85"/>
      <c r="G692" s="85"/>
      <c r="H692" s="85"/>
      <c r="I692" s="85"/>
      <c r="J692" s="85"/>
      <c r="K692" s="85"/>
      <c r="L692" s="85"/>
    </row>
    <row r="693" spans="2:12" x14ac:dyDescent="0.25">
      <c r="B693" s="84">
        <v>31695</v>
      </c>
      <c r="C693" s="84"/>
      <c r="D693" s="84"/>
      <c r="E693" s="84"/>
      <c r="F693" s="84"/>
      <c r="G693" s="84"/>
      <c r="H693" s="84"/>
      <c r="I693" s="84"/>
      <c r="J693" s="84"/>
      <c r="K693" s="84"/>
      <c r="L693" s="84"/>
    </row>
    <row r="694" spans="2:12" x14ac:dyDescent="0.25">
      <c r="B694" s="85">
        <v>31795</v>
      </c>
      <c r="C694" s="85"/>
      <c r="D694" s="85"/>
      <c r="E694" s="85"/>
      <c r="F694" s="85"/>
      <c r="G694" s="85"/>
      <c r="H694" s="85"/>
      <c r="I694" s="85"/>
      <c r="J694" s="85"/>
      <c r="K694" s="85"/>
      <c r="L694" s="85"/>
    </row>
    <row r="695" spans="2:12" x14ac:dyDescent="0.25">
      <c r="B695" s="84">
        <v>31895</v>
      </c>
      <c r="C695" s="84"/>
      <c r="D695" s="84"/>
      <c r="E695" s="84"/>
      <c r="F695" s="84"/>
      <c r="G695" s="84"/>
      <c r="H695" s="84"/>
      <c r="I695" s="84"/>
      <c r="J695" s="84"/>
      <c r="K695" s="84"/>
      <c r="L695" s="84"/>
    </row>
    <row r="696" spans="2:12" x14ac:dyDescent="0.25">
      <c r="B696" s="85">
        <v>31995</v>
      </c>
      <c r="C696" s="85"/>
      <c r="D696" s="85"/>
      <c r="E696" s="85"/>
      <c r="F696" s="85"/>
      <c r="G696" s="85"/>
      <c r="H696" s="85"/>
      <c r="I696" s="85"/>
      <c r="J696" s="85"/>
      <c r="K696" s="85"/>
      <c r="L696" s="85"/>
    </row>
    <row r="697" spans="2:12" x14ac:dyDescent="0.25">
      <c r="B697" s="84">
        <v>32095</v>
      </c>
      <c r="C697" s="84"/>
      <c r="D697" s="84"/>
      <c r="E697" s="84"/>
      <c r="F697" s="84"/>
      <c r="G697" s="84"/>
      <c r="H697" s="84"/>
      <c r="I697" s="84"/>
      <c r="J697" s="84"/>
      <c r="K697" s="84"/>
      <c r="L697" s="84"/>
    </row>
    <row r="698" spans="2:12" x14ac:dyDescent="0.25">
      <c r="B698" s="85">
        <v>32195</v>
      </c>
      <c r="C698" s="85"/>
      <c r="D698" s="85"/>
      <c r="E698" s="85"/>
      <c r="F698" s="85"/>
      <c r="G698" s="85"/>
      <c r="H698" s="85"/>
      <c r="I698" s="85"/>
      <c r="J698" s="85"/>
      <c r="K698" s="85"/>
      <c r="L698" s="85"/>
    </row>
    <row r="699" spans="2:12" x14ac:dyDescent="0.25">
      <c r="B699" s="84">
        <v>32295</v>
      </c>
      <c r="C699" s="84"/>
      <c r="D699" s="84"/>
      <c r="E699" s="84"/>
      <c r="F699" s="84"/>
      <c r="G699" s="84"/>
      <c r="H699" s="84"/>
      <c r="I699" s="84"/>
      <c r="J699" s="84"/>
      <c r="K699" s="84"/>
      <c r="L699" s="84"/>
    </row>
    <row r="700" spans="2:12" x14ac:dyDescent="0.25">
      <c r="B700" s="85">
        <v>32395</v>
      </c>
      <c r="C700" s="85"/>
      <c r="D700" s="85"/>
      <c r="E700" s="85"/>
      <c r="F700" s="85"/>
      <c r="G700" s="85"/>
      <c r="H700" s="85"/>
      <c r="I700" s="85"/>
      <c r="J700" s="85"/>
      <c r="K700" s="85"/>
      <c r="L700" s="85"/>
    </row>
    <row r="701" spans="2:12" x14ac:dyDescent="0.25">
      <c r="B701" s="84">
        <v>32495</v>
      </c>
      <c r="C701" s="84"/>
      <c r="D701" s="84"/>
      <c r="E701" s="84"/>
      <c r="F701" s="84"/>
      <c r="G701" s="84"/>
      <c r="H701" s="84"/>
      <c r="I701" s="84"/>
      <c r="J701" s="84"/>
      <c r="K701" s="84"/>
      <c r="L701" s="84"/>
    </row>
    <row r="702" spans="2:12" x14ac:dyDescent="0.25">
      <c r="B702" s="85">
        <v>32595</v>
      </c>
      <c r="C702" s="85"/>
      <c r="D702" s="85"/>
      <c r="E702" s="85"/>
      <c r="F702" s="85"/>
      <c r="G702" s="85"/>
      <c r="H702" s="85"/>
      <c r="I702" s="85"/>
      <c r="J702" s="85"/>
      <c r="K702" s="85"/>
      <c r="L702" s="85"/>
    </row>
    <row r="703" spans="2:12" x14ac:dyDescent="0.25">
      <c r="B703" s="84">
        <v>32695</v>
      </c>
      <c r="C703" s="84"/>
      <c r="D703" s="84"/>
      <c r="E703" s="84"/>
      <c r="F703" s="84"/>
      <c r="G703" s="84"/>
      <c r="H703" s="84"/>
      <c r="I703" s="84"/>
      <c r="J703" s="84"/>
      <c r="K703" s="84"/>
      <c r="L703" s="84"/>
    </row>
    <row r="704" spans="2:12" x14ac:dyDescent="0.25">
      <c r="B704" s="85">
        <v>32795</v>
      </c>
      <c r="C704" s="85"/>
      <c r="D704" s="85"/>
      <c r="E704" s="85"/>
      <c r="F704" s="85"/>
      <c r="G704" s="85"/>
      <c r="H704" s="85"/>
      <c r="I704" s="85"/>
      <c r="J704" s="85"/>
      <c r="K704" s="85"/>
      <c r="L704" s="85"/>
    </row>
    <row r="705" spans="2:12" x14ac:dyDescent="0.25">
      <c r="B705" s="84">
        <v>32895</v>
      </c>
      <c r="C705" s="84"/>
      <c r="D705" s="84"/>
      <c r="E705" s="84"/>
      <c r="F705" s="84"/>
      <c r="G705" s="84"/>
      <c r="H705" s="84"/>
      <c r="I705" s="84"/>
      <c r="J705" s="84"/>
      <c r="K705" s="84"/>
      <c r="L705" s="84"/>
    </row>
    <row r="706" spans="2:12" x14ac:dyDescent="0.25">
      <c r="B706" s="85">
        <v>32995</v>
      </c>
      <c r="C706" s="85"/>
      <c r="D706" s="85"/>
      <c r="E706" s="85"/>
      <c r="F706" s="85"/>
      <c r="G706" s="85"/>
      <c r="H706" s="85"/>
      <c r="I706" s="85"/>
      <c r="J706" s="85"/>
      <c r="K706" s="85"/>
      <c r="L706" s="85"/>
    </row>
    <row r="707" spans="2:12" x14ac:dyDescent="0.25">
      <c r="B707" s="84">
        <v>33095</v>
      </c>
      <c r="C707" s="84"/>
      <c r="D707" s="84"/>
      <c r="E707" s="84"/>
      <c r="F707" s="84"/>
      <c r="G707" s="84"/>
      <c r="H707" s="84"/>
      <c r="I707" s="84"/>
      <c r="J707" s="84"/>
      <c r="K707" s="84"/>
      <c r="L707" s="84"/>
    </row>
    <row r="708" spans="2:12" x14ac:dyDescent="0.25">
      <c r="B708" s="85">
        <v>33195</v>
      </c>
      <c r="C708" s="85"/>
      <c r="D708" s="85"/>
      <c r="E708" s="85"/>
      <c r="F708" s="85"/>
      <c r="G708" s="85"/>
      <c r="H708" s="85"/>
      <c r="I708" s="85"/>
      <c r="J708" s="85"/>
      <c r="K708" s="85"/>
      <c r="L708" s="85"/>
    </row>
    <row r="709" spans="2:12" x14ac:dyDescent="0.25">
      <c r="B709" s="84">
        <v>33295</v>
      </c>
      <c r="C709" s="84"/>
      <c r="D709" s="84"/>
      <c r="E709" s="84"/>
      <c r="F709" s="84"/>
      <c r="G709" s="84"/>
      <c r="H709" s="84"/>
      <c r="I709" s="84"/>
      <c r="J709" s="84"/>
      <c r="K709" s="84"/>
      <c r="L709" s="84"/>
    </row>
    <row r="710" spans="2:12" x14ac:dyDescent="0.25">
      <c r="B710" s="85">
        <v>33395</v>
      </c>
      <c r="C710" s="85"/>
      <c r="D710" s="85"/>
      <c r="E710" s="85"/>
      <c r="F710" s="85"/>
      <c r="G710" s="85"/>
      <c r="H710" s="85"/>
      <c r="I710" s="85"/>
      <c r="J710" s="85"/>
      <c r="K710" s="85"/>
      <c r="L710" s="85"/>
    </row>
    <row r="711" spans="2:12" x14ac:dyDescent="0.25">
      <c r="B711" s="84">
        <v>33495</v>
      </c>
      <c r="C711" s="84"/>
      <c r="D711" s="84"/>
      <c r="E711" s="84"/>
      <c r="F711" s="84"/>
      <c r="G711" s="84"/>
      <c r="H711" s="84"/>
      <c r="I711" s="84"/>
      <c r="J711" s="84"/>
      <c r="K711" s="84"/>
      <c r="L711" s="84"/>
    </row>
    <row r="712" spans="2:12" x14ac:dyDescent="0.25">
      <c r="B712" s="85">
        <v>33595</v>
      </c>
      <c r="C712" s="85"/>
      <c r="D712" s="85"/>
      <c r="E712" s="85"/>
      <c r="F712" s="85"/>
      <c r="G712" s="85"/>
      <c r="H712" s="85"/>
      <c r="I712" s="85"/>
      <c r="J712" s="85"/>
      <c r="K712" s="85"/>
      <c r="L712" s="85"/>
    </row>
    <row r="713" spans="2:12" x14ac:dyDescent="0.25">
      <c r="B713" s="84">
        <v>33695</v>
      </c>
      <c r="C713" s="84"/>
      <c r="D713" s="84"/>
      <c r="E713" s="84"/>
      <c r="F713" s="84"/>
      <c r="G713" s="84"/>
      <c r="H713" s="84"/>
      <c r="I713" s="84"/>
      <c r="J713" s="84"/>
      <c r="K713" s="84"/>
      <c r="L713" s="84"/>
    </row>
    <row r="714" spans="2:12" x14ac:dyDescent="0.25">
      <c r="B714" s="85">
        <v>33795</v>
      </c>
      <c r="C714" s="85"/>
      <c r="D714" s="85"/>
      <c r="E714" s="85"/>
      <c r="F714" s="85"/>
      <c r="G714" s="85"/>
      <c r="H714" s="85"/>
      <c r="I714" s="85"/>
      <c r="J714" s="85"/>
      <c r="K714" s="85"/>
      <c r="L714" s="85"/>
    </row>
    <row r="715" spans="2:12" x14ac:dyDescent="0.25">
      <c r="B715" s="84">
        <v>33895</v>
      </c>
      <c r="C715" s="84"/>
      <c r="D715" s="84"/>
      <c r="E715" s="84"/>
      <c r="F715" s="84"/>
      <c r="G715" s="84"/>
      <c r="H715" s="84"/>
      <c r="I715" s="84"/>
      <c r="J715" s="84"/>
      <c r="K715" s="84"/>
      <c r="L715" s="84"/>
    </row>
    <row r="716" spans="2:12" x14ac:dyDescent="0.25">
      <c r="B716" s="85">
        <v>33995</v>
      </c>
      <c r="C716" s="85"/>
      <c r="D716" s="85"/>
      <c r="E716" s="85"/>
      <c r="F716" s="85"/>
      <c r="G716" s="85"/>
      <c r="H716" s="85"/>
      <c r="I716" s="85"/>
      <c r="J716" s="85"/>
      <c r="K716" s="85"/>
      <c r="L716" s="85"/>
    </row>
    <row r="717" spans="2:12" x14ac:dyDescent="0.25">
      <c r="B717" s="84">
        <v>34095</v>
      </c>
      <c r="C717" s="84"/>
      <c r="D717" s="84"/>
      <c r="E717" s="84"/>
      <c r="F717" s="84"/>
      <c r="G717" s="84"/>
      <c r="H717" s="84"/>
      <c r="I717" s="84"/>
      <c r="J717" s="84"/>
      <c r="K717" s="84"/>
      <c r="L717" s="84"/>
    </row>
    <row r="718" spans="2:12" x14ac:dyDescent="0.25">
      <c r="B718" s="85">
        <v>34195</v>
      </c>
      <c r="C718" s="85"/>
      <c r="D718" s="85"/>
      <c r="E718" s="85"/>
      <c r="F718" s="85"/>
      <c r="G718" s="85"/>
      <c r="H718" s="85"/>
      <c r="I718" s="85"/>
      <c r="J718" s="85"/>
      <c r="K718" s="85"/>
      <c r="L718" s="85"/>
    </row>
    <row r="719" spans="2:12" x14ac:dyDescent="0.25">
      <c r="B719" s="84">
        <v>34295</v>
      </c>
      <c r="C719" s="84"/>
      <c r="D719" s="84"/>
      <c r="E719" s="84"/>
      <c r="F719" s="84"/>
      <c r="G719" s="84"/>
      <c r="H719" s="84"/>
      <c r="I719" s="84"/>
      <c r="J719" s="84"/>
      <c r="K719" s="84"/>
      <c r="L719" s="84"/>
    </row>
    <row r="720" spans="2:12" x14ac:dyDescent="0.25">
      <c r="B720" s="85">
        <v>34395</v>
      </c>
      <c r="C720" s="85"/>
      <c r="D720" s="85"/>
      <c r="E720" s="85"/>
      <c r="F720" s="85"/>
      <c r="G720" s="85"/>
      <c r="H720" s="85"/>
      <c r="I720" s="85"/>
      <c r="J720" s="85"/>
      <c r="K720" s="85"/>
      <c r="L720" s="85"/>
    </row>
    <row r="721" spans="2:12" x14ac:dyDescent="0.25">
      <c r="B721" s="84">
        <v>34495</v>
      </c>
      <c r="C721" s="84"/>
      <c r="D721" s="84"/>
      <c r="E721" s="84"/>
      <c r="F721" s="84"/>
      <c r="G721" s="84"/>
      <c r="H721" s="84"/>
      <c r="I721" s="84"/>
      <c r="J721" s="84"/>
      <c r="K721" s="84"/>
      <c r="L721" s="84"/>
    </row>
    <row r="722" spans="2:12" x14ac:dyDescent="0.25">
      <c r="B722" s="85">
        <v>34595</v>
      </c>
      <c r="C722" s="85"/>
      <c r="D722" s="85"/>
      <c r="E722" s="85"/>
      <c r="F722" s="85"/>
      <c r="G722" s="85"/>
      <c r="H722" s="85"/>
      <c r="I722" s="85"/>
      <c r="J722" s="85"/>
      <c r="K722" s="85"/>
      <c r="L722" s="85"/>
    </row>
    <row r="723" spans="2:12" x14ac:dyDescent="0.25">
      <c r="B723" s="84">
        <v>34695</v>
      </c>
      <c r="C723" s="84"/>
      <c r="D723" s="84"/>
      <c r="E723" s="84"/>
      <c r="F723" s="84"/>
      <c r="G723" s="84"/>
      <c r="H723" s="84"/>
      <c r="I723" s="84"/>
      <c r="J723" s="84"/>
      <c r="K723" s="84"/>
      <c r="L723" s="84"/>
    </row>
    <row r="724" spans="2:12" x14ac:dyDescent="0.25">
      <c r="B724" s="85">
        <v>34795</v>
      </c>
      <c r="C724" s="85"/>
      <c r="D724" s="85"/>
      <c r="E724" s="85"/>
      <c r="F724" s="85"/>
      <c r="G724" s="85"/>
      <c r="H724" s="85"/>
      <c r="I724" s="85"/>
      <c r="J724" s="85"/>
      <c r="K724" s="85"/>
      <c r="L724" s="85"/>
    </row>
    <row r="725" spans="2:12" x14ac:dyDescent="0.25">
      <c r="B725" s="84">
        <v>34895</v>
      </c>
      <c r="C725" s="84"/>
      <c r="D725" s="84"/>
      <c r="E725" s="84"/>
      <c r="F725" s="84"/>
      <c r="G725" s="84"/>
      <c r="H725" s="84"/>
      <c r="I725" s="84"/>
      <c r="J725" s="84"/>
      <c r="K725" s="84"/>
      <c r="L725" s="84"/>
    </row>
    <row r="726" spans="2:12" x14ac:dyDescent="0.25">
      <c r="B726" s="85">
        <v>34995</v>
      </c>
      <c r="C726" s="85"/>
      <c r="D726" s="85"/>
      <c r="E726" s="85"/>
      <c r="F726" s="85"/>
      <c r="G726" s="85"/>
      <c r="H726" s="85"/>
      <c r="I726" s="85"/>
      <c r="J726" s="85"/>
      <c r="K726" s="85"/>
      <c r="L726" s="85"/>
    </row>
    <row r="727" spans="2:12" x14ac:dyDescent="0.25">
      <c r="B727" s="84">
        <v>35095</v>
      </c>
      <c r="C727" s="84"/>
      <c r="D727" s="84"/>
      <c r="E727" s="84"/>
      <c r="F727" s="84"/>
      <c r="G727" s="84"/>
      <c r="H727" s="84"/>
      <c r="I727" s="84"/>
      <c r="J727" s="84"/>
      <c r="K727" s="84"/>
      <c r="L727" s="84"/>
    </row>
    <row r="728" spans="2:12" x14ac:dyDescent="0.25">
      <c r="B728" s="85">
        <v>35195</v>
      </c>
      <c r="C728" s="85"/>
      <c r="D728" s="85"/>
      <c r="E728" s="85"/>
      <c r="F728" s="85"/>
      <c r="G728" s="85"/>
      <c r="H728" s="85"/>
      <c r="I728" s="85"/>
      <c r="J728" s="85"/>
      <c r="K728" s="85"/>
      <c r="L728" s="85"/>
    </row>
    <row r="729" spans="2:12" x14ac:dyDescent="0.25">
      <c r="B729" s="84">
        <v>35295</v>
      </c>
      <c r="C729" s="84"/>
      <c r="D729" s="84"/>
      <c r="E729" s="84"/>
      <c r="F729" s="84"/>
      <c r="G729" s="84"/>
      <c r="H729" s="84"/>
      <c r="I729" s="84"/>
      <c r="J729" s="84"/>
      <c r="K729" s="84"/>
      <c r="L729" s="84"/>
    </row>
    <row r="730" spans="2:12" x14ac:dyDescent="0.25">
      <c r="B730" s="85">
        <v>35395</v>
      </c>
      <c r="C730" s="85"/>
      <c r="D730" s="85"/>
      <c r="E730" s="85"/>
      <c r="F730" s="85"/>
      <c r="G730" s="85"/>
      <c r="H730" s="85"/>
      <c r="I730" s="85"/>
      <c r="J730" s="85"/>
      <c r="K730" s="85"/>
      <c r="L730" s="85"/>
    </row>
    <row r="731" spans="2:12" x14ac:dyDescent="0.25">
      <c r="B731" s="84">
        <v>35495</v>
      </c>
      <c r="C731" s="84"/>
      <c r="D731" s="84"/>
      <c r="E731" s="84"/>
      <c r="F731" s="84"/>
      <c r="G731" s="84"/>
      <c r="H731" s="84"/>
      <c r="I731" s="84"/>
      <c r="J731" s="84"/>
      <c r="K731" s="84"/>
      <c r="L731" s="84"/>
    </row>
    <row r="732" spans="2:12" x14ac:dyDescent="0.25">
      <c r="B732" s="85">
        <v>35595</v>
      </c>
      <c r="C732" s="85"/>
      <c r="D732" s="85"/>
      <c r="E732" s="85"/>
      <c r="F732" s="85"/>
      <c r="G732" s="85"/>
      <c r="H732" s="85"/>
      <c r="I732" s="85"/>
      <c r="J732" s="85"/>
      <c r="K732" s="85"/>
      <c r="L732" s="85"/>
    </row>
    <row r="733" spans="2:12" x14ac:dyDescent="0.25">
      <c r="B733" s="84">
        <v>35695</v>
      </c>
      <c r="C733" s="84"/>
      <c r="D733" s="84"/>
      <c r="E733" s="84"/>
      <c r="F733" s="84"/>
      <c r="G733" s="84"/>
      <c r="H733" s="84"/>
      <c r="I733" s="84"/>
      <c r="J733" s="84"/>
      <c r="K733" s="84"/>
      <c r="L733" s="84"/>
    </row>
    <row r="734" spans="2:12" x14ac:dyDescent="0.25">
      <c r="B734" s="85">
        <v>35795</v>
      </c>
      <c r="C734" s="85"/>
      <c r="D734" s="85"/>
      <c r="E734" s="85"/>
      <c r="F734" s="85"/>
      <c r="G734" s="85"/>
      <c r="H734" s="85"/>
      <c r="I734" s="85"/>
      <c r="J734" s="85"/>
      <c r="K734" s="85"/>
      <c r="L734" s="85"/>
    </row>
    <row r="735" spans="2:12" x14ac:dyDescent="0.25">
      <c r="B735" s="84">
        <v>35895</v>
      </c>
      <c r="C735" s="84"/>
      <c r="D735" s="84"/>
      <c r="E735" s="84"/>
      <c r="F735" s="84"/>
      <c r="G735" s="84"/>
      <c r="H735" s="84"/>
      <c r="I735" s="84"/>
      <c r="J735" s="84"/>
      <c r="K735" s="84"/>
      <c r="L735" s="84"/>
    </row>
    <row r="736" spans="2:12" x14ac:dyDescent="0.25">
      <c r="B736" s="85">
        <v>35995</v>
      </c>
      <c r="C736" s="85"/>
      <c r="D736" s="85"/>
      <c r="E736" s="85"/>
      <c r="F736" s="85"/>
      <c r="G736" s="85"/>
      <c r="H736" s="85"/>
      <c r="I736" s="85"/>
      <c r="J736" s="85"/>
      <c r="K736" s="85"/>
      <c r="L736" s="85"/>
    </row>
    <row r="737" spans="2:12" x14ac:dyDescent="0.25">
      <c r="B737" s="84">
        <v>36095</v>
      </c>
      <c r="C737" s="84"/>
      <c r="D737" s="84"/>
      <c r="E737" s="84"/>
      <c r="F737" s="84"/>
      <c r="G737" s="84"/>
      <c r="H737" s="84"/>
      <c r="I737" s="84"/>
      <c r="J737" s="84"/>
      <c r="K737" s="84"/>
      <c r="L737" s="84"/>
    </row>
    <row r="738" spans="2:12" x14ac:dyDescent="0.25">
      <c r="B738" s="85">
        <v>36195</v>
      </c>
      <c r="C738" s="85"/>
      <c r="D738" s="85"/>
      <c r="E738" s="85"/>
      <c r="F738" s="85"/>
      <c r="G738" s="85"/>
      <c r="H738" s="85"/>
      <c r="I738" s="85"/>
      <c r="J738" s="85"/>
      <c r="K738" s="85"/>
      <c r="L738" s="85"/>
    </row>
    <row r="739" spans="2:12" x14ac:dyDescent="0.25">
      <c r="B739" s="84">
        <v>36295</v>
      </c>
      <c r="C739" s="84"/>
      <c r="D739" s="84"/>
      <c r="E739" s="84"/>
      <c r="F739" s="84"/>
      <c r="G739" s="84"/>
      <c r="H739" s="84"/>
      <c r="I739" s="84"/>
      <c r="J739" s="84"/>
      <c r="K739" s="84"/>
      <c r="L739" s="84"/>
    </row>
    <row r="740" spans="2:12" x14ac:dyDescent="0.25">
      <c r="B740" s="85">
        <v>36395</v>
      </c>
      <c r="C740" s="85"/>
      <c r="D740" s="85"/>
      <c r="E740" s="85"/>
      <c r="F740" s="85"/>
      <c r="G740" s="85"/>
      <c r="H740" s="85"/>
      <c r="I740" s="85"/>
      <c r="J740" s="85"/>
      <c r="K740" s="85"/>
      <c r="L740" s="85"/>
    </row>
    <row r="741" spans="2:12" x14ac:dyDescent="0.25">
      <c r="B741" s="84">
        <v>36495</v>
      </c>
      <c r="C741" s="84"/>
      <c r="D741" s="84"/>
      <c r="E741" s="84"/>
      <c r="F741" s="84"/>
      <c r="G741" s="84"/>
      <c r="H741" s="84"/>
      <c r="I741" s="84"/>
      <c r="J741" s="84"/>
      <c r="K741" s="84"/>
      <c r="L741" s="84"/>
    </row>
    <row r="742" spans="2:12" x14ac:dyDescent="0.25">
      <c r="B742" s="85">
        <v>36595</v>
      </c>
      <c r="C742" s="85"/>
      <c r="D742" s="85"/>
      <c r="E742" s="85"/>
      <c r="F742" s="85"/>
      <c r="G742" s="85"/>
      <c r="H742" s="85"/>
      <c r="I742" s="85"/>
      <c r="J742" s="85"/>
      <c r="K742" s="85"/>
      <c r="L742" s="85"/>
    </row>
    <row r="743" spans="2:12" x14ac:dyDescent="0.25">
      <c r="B743" s="84">
        <v>36695</v>
      </c>
      <c r="C743" s="84"/>
      <c r="D743" s="84"/>
      <c r="E743" s="84"/>
      <c r="F743" s="84"/>
      <c r="G743" s="84"/>
      <c r="H743" s="84"/>
      <c r="I743" s="84"/>
      <c r="J743" s="84"/>
      <c r="K743" s="84"/>
      <c r="L743" s="84"/>
    </row>
    <row r="744" spans="2:12" x14ac:dyDescent="0.25">
      <c r="B744" s="85">
        <v>36795</v>
      </c>
      <c r="C744" s="85"/>
      <c r="D744" s="85"/>
      <c r="E744" s="85"/>
      <c r="F744" s="85"/>
      <c r="G744" s="85"/>
      <c r="H744" s="85"/>
      <c r="I744" s="85"/>
      <c r="J744" s="85"/>
      <c r="K744" s="85"/>
      <c r="L744" s="85"/>
    </row>
    <row r="745" spans="2:12" x14ac:dyDescent="0.25">
      <c r="B745" s="84">
        <v>36895</v>
      </c>
      <c r="C745" s="84"/>
      <c r="D745" s="84"/>
      <c r="E745" s="84"/>
      <c r="F745" s="84"/>
      <c r="G745" s="84"/>
      <c r="H745" s="84"/>
      <c r="I745" s="84"/>
      <c r="J745" s="84"/>
      <c r="K745" s="84"/>
      <c r="L745" s="84"/>
    </row>
    <row r="746" spans="2:12" x14ac:dyDescent="0.25">
      <c r="B746" s="85">
        <v>36995</v>
      </c>
      <c r="C746" s="85"/>
      <c r="D746" s="85"/>
      <c r="E746" s="85"/>
      <c r="F746" s="85"/>
      <c r="G746" s="85"/>
      <c r="H746" s="85"/>
      <c r="I746" s="85"/>
      <c r="J746" s="85"/>
      <c r="K746" s="85"/>
      <c r="L746" s="85"/>
    </row>
    <row r="747" spans="2:12" x14ac:dyDescent="0.25">
      <c r="B747" s="84">
        <v>37095</v>
      </c>
      <c r="C747" s="84"/>
      <c r="D747" s="84"/>
      <c r="E747" s="84"/>
      <c r="F747" s="84"/>
      <c r="G747" s="84"/>
      <c r="H747" s="84"/>
      <c r="I747" s="84"/>
      <c r="J747" s="84"/>
      <c r="K747" s="84"/>
      <c r="L747" s="84"/>
    </row>
    <row r="748" spans="2:12" x14ac:dyDescent="0.25">
      <c r="B748" s="85">
        <v>37195</v>
      </c>
      <c r="C748" s="85"/>
      <c r="D748" s="85"/>
      <c r="E748" s="85"/>
      <c r="F748" s="85"/>
      <c r="G748" s="85"/>
      <c r="H748" s="85"/>
      <c r="I748" s="85"/>
      <c r="J748" s="85"/>
      <c r="K748" s="85"/>
      <c r="L748" s="85"/>
    </row>
    <row r="749" spans="2:12" x14ac:dyDescent="0.25">
      <c r="B749" s="84">
        <v>37295</v>
      </c>
      <c r="C749" s="84"/>
      <c r="D749" s="84"/>
      <c r="E749" s="84"/>
      <c r="F749" s="84"/>
      <c r="G749" s="84"/>
      <c r="H749" s="84"/>
      <c r="I749" s="84"/>
      <c r="J749" s="84"/>
      <c r="K749" s="84"/>
      <c r="L749" s="84"/>
    </row>
    <row r="750" spans="2:12" x14ac:dyDescent="0.25">
      <c r="B750" s="85">
        <v>37395</v>
      </c>
      <c r="C750" s="85"/>
      <c r="D750" s="85"/>
      <c r="E750" s="85"/>
      <c r="F750" s="85"/>
      <c r="G750" s="85"/>
      <c r="H750" s="85"/>
      <c r="I750" s="85"/>
      <c r="J750" s="85"/>
      <c r="K750" s="85"/>
      <c r="L750" s="85"/>
    </row>
    <row r="751" spans="2:12" x14ac:dyDescent="0.25">
      <c r="B751" s="84">
        <v>37495</v>
      </c>
      <c r="C751" s="84"/>
      <c r="D751" s="84"/>
      <c r="E751" s="84"/>
      <c r="F751" s="84"/>
      <c r="G751" s="84"/>
      <c r="H751" s="84"/>
      <c r="I751" s="84"/>
      <c r="J751" s="84"/>
      <c r="K751" s="84"/>
      <c r="L751" s="84"/>
    </row>
    <row r="752" spans="2:12" x14ac:dyDescent="0.25">
      <c r="B752" s="85">
        <v>37595</v>
      </c>
      <c r="C752" s="85"/>
      <c r="D752" s="85"/>
      <c r="E752" s="85"/>
      <c r="F752" s="85"/>
      <c r="G752" s="85"/>
      <c r="H752" s="85"/>
      <c r="I752" s="85"/>
      <c r="J752" s="85"/>
      <c r="K752" s="85"/>
      <c r="L752" s="85"/>
    </row>
    <row r="753" spans="2:12" x14ac:dyDescent="0.25">
      <c r="B753" s="84">
        <v>37695</v>
      </c>
      <c r="C753" s="84"/>
      <c r="D753" s="84"/>
      <c r="E753" s="84"/>
      <c r="F753" s="84"/>
      <c r="G753" s="84"/>
      <c r="H753" s="84"/>
      <c r="I753" s="84"/>
      <c r="J753" s="84"/>
      <c r="K753" s="84"/>
      <c r="L753" s="84"/>
    </row>
    <row r="754" spans="2:12" x14ac:dyDescent="0.25">
      <c r="B754" s="85">
        <v>37795</v>
      </c>
      <c r="C754" s="85"/>
      <c r="D754" s="85"/>
      <c r="E754" s="85"/>
      <c r="F754" s="85"/>
      <c r="G754" s="85"/>
      <c r="H754" s="85"/>
      <c r="I754" s="85"/>
      <c r="J754" s="85"/>
      <c r="K754" s="85"/>
      <c r="L754" s="85"/>
    </row>
    <row r="755" spans="2:12" x14ac:dyDescent="0.25">
      <c r="B755" s="84">
        <v>37895</v>
      </c>
      <c r="C755" s="84"/>
      <c r="D755" s="84"/>
      <c r="E755" s="84"/>
      <c r="F755" s="84"/>
      <c r="G755" s="84"/>
      <c r="H755" s="84"/>
      <c r="I755" s="84"/>
      <c r="J755" s="84"/>
      <c r="K755" s="84"/>
      <c r="L755" s="84"/>
    </row>
    <row r="756" spans="2:12" x14ac:dyDescent="0.25">
      <c r="B756" s="85">
        <v>37995</v>
      </c>
      <c r="C756" s="85"/>
      <c r="D756" s="85"/>
      <c r="E756" s="85"/>
      <c r="F756" s="85"/>
      <c r="G756" s="85"/>
      <c r="H756" s="85"/>
      <c r="I756" s="85"/>
      <c r="J756" s="85"/>
      <c r="K756" s="85"/>
      <c r="L756" s="85"/>
    </row>
    <row r="757" spans="2:12" x14ac:dyDescent="0.25">
      <c r="B757" s="84">
        <v>38095</v>
      </c>
      <c r="C757" s="84"/>
      <c r="D757" s="84"/>
      <c r="E757" s="84"/>
      <c r="F757" s="84"/>
      <c r="G757" s="84"/>
      <c r="H757" s="84"/>
      <c r="I757" s="84"/>
      <c r="J757" s="84"/>
      <c r="K757" s="84"/>
      <c r="L757" s="84"/>
    </row>
    <row r="758" spans="2:12" x14ac:dyDescent="0.25">
      <c r="B758" s="85">
        <v>38195</v>
      </c>
      <c r="C758" s="85"/>
      <c r="D758" s="85"/>
      <c r="E758" s="85"/>
      <c r="F758" s="85"/>
      <c r="G758" s="85"/>
      <c r="H758" s="85"/>
      <c r="I758" s="85"/>
      <c r="J758" s="85"/>
      <c r="K758" s="85"/>
      <c r="L758" s="85"/>
    </row>
    <row r="759" spans="2:12" x14ac:dyDescent="0.25">
      <c r="B759" s="84">
        <v>38295</v>
      </c>
      <c r="C759" s="84"/>
      <c r="D759" s="84"/>
      <c r="E759" s="84"/>
      <c r="F759" s="84"/>
      <c r="G759" s="84"/>
      <c r="H759" s="84"/>
      <c r="I759" s="84"/>
      <c r="J759" s="84"/>
      <c r="K759" s="84"/>
      <c r="L759" s="84"/>
    </row>
    <row r="760" spans="2:12" x14ac:dyDescent="0.25">
      <c r="B760" s="85">
        <v>38395</v>
      </c>
      <c r="C760" s="85"/>
      <c r="D760" s="85"/>
      <c r="E760" s="85"/>
      <c r="F760" s="85"/>
      <c r="G760" s="85"/>
      <c r="H760" s="85"/>
      <c r="I760" s="85"/>
      <c r="J760" s="85"/>
      <c r="K760" s="85"/>
      <c r="L760" s="85"/>
    </row>
    <row r="761" spans="2:12" x14ac:dyDescent="0.25">
      <c r="B761" s="84">
        <v>38495</v>
      </c>
      <c r="C761" s="84"/>
      <c r="D761" s="84"/>
      <c r="E761" s="84"/>
      <c r="F761" s="84"/>
      <c r="G761" s="84"/>
      <c r="H761" s="84"/>
      <c r="I761" s="84"/>
      <c r="J761" s="84"/>
      <c r="K761" s="84"/>
      <c r="L761" s="84"/>
    </row>
    <row r="762" spans="2:12" x14ac:dyDescent="0.25">
      <c r="B762" s="85">
        <v>38595</v>
      </c>
      <c r="C762" s="85"/>
      <c r="D762" s="85"/>
      <c r="E762" s="85"/>
      <c r="F762" s="85"/>
      <c r="G762" s="85"/>
      <c r="H762" s="85"/>
      <c r="I762" s="85"/>
      <c r="J762" s="85"/>
      <c r="K762" s="85"/>
      <c r="L762" s="85"/>
    </row>
    <row r="763" spans="2:12" x14ac:dyDescent="0.25">
      <c r="B763" s="84">
        <v>38695</v>
      </c>
      <c r="C763" s="84"/>
      <c r="D763" s="84"/>
      <c r="E763" s="84"/>
      <c r="F763" s="84"/>
      <c r="G763" s="84"/>
      <c r="H763" s="84"/>
      <c r="I763" s="84"/>
      <c r="J763" s="84"/>
      <c r="K763" s="84"/>
      <c r="L763" s="84"/>
    </row>
    <row r="764" spans="2:12" x14ac:dyDescent="0.25">
      <c r="B764" s="85">
        <v>38795</v>
      </c>
      <c r="C764" s="85"/>
      <c r="D764" s="85"/>
      <c r="E764" s="85"/>
      <c r="F764" s="85"/>
      <c r="G764" s="85"/>
      <c r="H764" s="85"/>
      <c r="I764" s="85"/>
      <c r="J764" s="85"/>
      <c r="K764" s="85"/>
      <c r="L764" s="85"/>
    </row>
    <row r="765" spans="2:12" x14ac:dyDescent="0.25">
      <c r="B765" s="84">
        <v>38895</v>
      </c>
      <c r="C765" s="84"/>
      <c r="D765" s="84"/>
      <c r="E765" s="84"/>
      <c r="F765" s="84"/>
      <c r="G765" s="84"/>
      <c r="H765" s="84"/>
      <c r="I765" s="84"/>
      <c r="J765" s="84"/>
      <c r="K765" s="84"/>
      <c r="L765" s="84"/>
    </row>
    <row r="766" spans="2:12" x14ac:dyDescent="0.25">
      <c r="B766" s="85">
        <v>38995</v>
      </c>
      <c r="C766" s="85"/>
      <c r="D766" s="85"/>
      <c r="E766" s="85"/>
      <c r="F766" s="85"/>
      <c r="G766" s="85"/>
      <c r="H766" s="85"/>
      <c r="I766" s="85"/>
      <c r="J766" s="85"/>
      <c r="K766" s="85"/>
      <c r="L766" s="85"/>
    </row>
    <row r="767" spans="2:12" x14ac:dyDescent="0.25">
      <c r="B767" s="84">
        <v>39095</v>
      </c>
      <c r="C767" s="84"/>
      <c r="D767" s="84"/>
      <c r="E767" s="84"/>
      <c r="F767" s="84"/>
      <c r="G767" s="84"/>
      <c r="H767" s="84"/>
      <c r="I767" s="84"/>
      <c r="J767" s="84"/>
      <c r="K767" s="84"/>
      <c r="L767" s="84"/>
    </row>
    <row r="768" spans="2:12" x14ac:dyDescent="0.25">
      <c r="B768" s="85">
        <v>39195</v>
      </c>
      <c r="C768" s="85"/>
      <c r="D768" s="85"/>
      <c r="E768" s="85"/>
      <c r="F768" s="85"/>
      <c r="G768" s="85"/>
      <c r="H768" s="85"/>
      <c r="I768" s="85"/>
      <c r="J768" s="85"/>
      <c r="K768" s="85"/>
      <c r="L768" s="85"/>
    </row>
    <row r="769" spans="2:12" x14ac:dyDescent="0.25">
      <c r="B769" s="84">
        <v>39295</v>
      </c>
      <c r="C769" s="84"/>
      <c r="D769" s="84"/>
      <c r="E769" s="84"/>
      <c r="F769" s="84"/>
      <c r="G769" s="84"/>
      <c r="H769" s="84"/>
      <c r="I769" s="84"/>
      <c r="J769" s="84"/>
      <c r="K769" s="84"/>
      <c r="L769" s="84"/>
    </row>
    <row r="770" spans="2:12" x14ac:dyDescent="0.25">
      <c r="B770" s="85">
        <v>39395</v>
      </c>
      <c r="C770" s="85"/>
      <c r="D770" s="85"/>
      <c r="E770" s="85"/>
      <c r="F770" s="85"/>
      <c r="G770" s="85"/>
      <c r="H770" s="85"/>
      <c r="I770" s="85"/>
      <c r="J770" s="85"/>
      <c r="K770" s="85"/>
      <c r="L770" s="85"/>
    </row>
    <row r="771" spans="2:12" x14ac:dyDescent="0.25">
      <c r="B771" s="84">
        <v>39495</v>
      </c>
      <c r="C771" s="84"/>
      <c r="D771" s="84"/>
      <c r="E771" s="84"/>
      <c r="F771" s="84"/>
      <c r="G771" s="84"/>
      <c r="H771" s="84"/>
      <c r="I771" s="84"/>
      <c r="J771" s="84"/>
      <c r="K771" s="84"/>
      <c r="L771" s="84"/>
    </row>
    <row r="772" spans="2:12" x14ac:dyDescent="0.25">
      <c r="B772" s="85">
        <v>39595</v>
      </c>
      <c r="C772" s="85"/>
      <c r="D772" s="85"/>
      <c r="E772" s="85"/>
      <c r="F772" s="85"/>
      <c r="G772" s="85"/>
      <c r="H772" s="85"/>
      <c r="I772" s="85"/>
      <c r="J772" s="85"/>
      <c r="K772" s="85"/>
      <c r="L772" s="85"/>
    </row>
    <row r="773" spans="2:12" x14ac:dyDescent="0.25">
      <c r="B773" s="84">
        <v>39695</v>
      </c>
      <c r="C773" s="84"/>
      <c r="D773" s="84"/>
      <c r="E773" s="84"/>
      <c r="F773" s="84"/>
      <c r="G773" s="84"/>
      <c r="H773" s="84"/>
      <c r="I773" s="84"/>
      <c r="J773" s="84"/>
      <c r="K773" s="84"/>
      <c r="L773" s="84"/>
    </row>
    <row r="774" spans="2:12" x14ac:dyDescent="0.25">
      <c r="B774" s="85">
        <v>39795</v>
      </c>
      <c r="C774" s="85"/>
      <c r="D774" s="85"/>
      <c r="E774" s="85"/>
      <c r="F774" s="85"/>
      <c r="G774" s="85"/>
      <c r="H774" s="85"/>
      <c r="I774" s="85"/>
      <c r="J774" s="85"/>
      <c r="K774" s="85"/>
      <c r="L774" s="85"/>
    </row>
    <row r="775" spans="2:12" x14ac:dyDescent="0.25">
      <c r="B775" s="84">
        <v>39895</v>
      </c>
      <c r="C775" s="84"/>
      <c r="D775" s="84"/>
      <c r="E775" s="84"/>
      <c r="F775" s="84"/>
      <c r="G775" s="84"/>
      <c r="H775" s="84"/>
      <c r="I775" s="84"/>
      <c r="J775" s="84"/>
      <c r="K775" s="84"/>
      <c r="L775" s="84"/>
    </row>
    <row r="776" spans="2:12" x14ac:dyDescent="0.25">
      <c r="B776" s="85">
        <v>39995</v>
      </c>
      <c r="C776" s="85"/>
      <c r="D776" s="85"/>
      <c r="E776" s="85"/>
      <c r="F776" s="85"/>
      <c r="G776" s="85"/>
      <c r="H776" s="85"/>
      <c r="I776" s="85"/>
      <c r="J776" s="85"/>
      <c r="K776" s="85"/>
      <c r="L776" s="85"/>
    </row>
    <row r="777" spans="2:12" x14ac:dyDescent="0.25">
      <c r="B777" s="84">
        <v>40095</v>
      </c>
      <c r="C777" s="84"/>
      <c r="D777" s="84"/>
      <c r="E777" s="84"/>
      <c r="F777" s="84"/>
      <c r="G777" s="84"/>
      <c r="H777" s="84"/>
      <c r="I777" s="84"/>
      <c r="J777" s="84"/>
      <c r="K777" s="84"/>
      <c r="L777" s="84"/>
    </row>
    <row r="778" spans="2:12" x14ac:dyDescent="0.25">
      <c r="B778" s="85">
        <v>40195</v>
      </c>
      <c r="C778" s="85"/>
      <c r="D778" s="85"/>
      <c r="E778" s="85"/>
      <c r="F778" s="85"/>
      <c r="G778" s="85"/>
      <c r="H778" s="85"/>
      <c r="I778" s="85"/>
      <c r="J778" s="85"/>
      <c r="K778" s="85"/>
      <c r="L778" s="85"/>
    </row>
    <row r="779" spans="2:12" x14ac:dyDescent="0.25">
      <c r="B779" s="84">
        <v>40295</v>
      </c>
      <c r="C779" s="84"/>
      <c r="D779" s="84"/>
      <c r="E779" s="84"/>
      <c r="F779" s="84"/>
      <c r="G779" s="84"/>
      <c r="H779" s="84"/>
      <c r="I779" s="84"/>
      <c r="J779" s="84"/>
      <c r="K779" s="84"/>
      <c r="L779" s="84"/>
    </row>
    <row r="780" spans="2:12" x14ac:dyDescent="0.25">
      <c r="B780" s="85">
        <v>40395</v>
      </c>
      <c r="C780" s="85"/>
      <c r="D780" s="85"/>
      <c r="E780" s="85"/>
      <c r="F780" s="85"/>
      <c r="G780" s="85"/>
      <c r="H780" s="85"/>
      <c r="I780" s="85"/>
      <c r="J780" s="85"/>
      <c r="K780" s="85"/>
      <c r="L780" s="85"/>
    </row>
    <row r="781" spans="2:12" x14ac:dyDescent="0.25">
      <c r="B781" s="84">
        <v>40495</v>
      </c>
      <c r="C781" s="84"/>
      <c r="D781" s="84"/>
      <c r="E781" s="84"/>
      <c r="F781" s="84"/>
      <c r="G781" s="84"/>
      <c r="H781" s="84"/>
      <c r="I781" s="84"/>
      <c r="J781" s="84"/>
      <c r="K781" s="84"/>
      <c r="L781" s="84"/>
    </row>
    <row r="782" spans="2:12" x14ac:dyDescent="0.25">
      <c r="B782" s="85">
        <v>40595</v>
      </c>
      <c r="C782" s="85"/>
      <c r="D782" s="85"/>
      <c r="E782" s="85"/>
      <c r="F782" s="85"/>
      <c r="G782" s="85"/>
      <c r="H782" s="85"/>
      <c r="I782" s="85"/>
      <c r="J782" s="85"/>
      <c r="K782" s="85"/>
      <c r="L782" s="85"/>
    </row>
    <row r="783" spans="2:12" x14ac:dyDescent="0.25">
      <c r="B783" s="84">
        <v>40695</v>
      </c>
      <c r="C783" s="84"/>
      <c r="D783" s="84"/>
      <c r="E783" s="84"/>
      <c r="F783" s="84"/>
      <c r="G783" s="84"/>
      <c r="H783" s="84"/>
      <c r="I783" s="84"/>
      <c r="J783" s="84"/>
      <c r="K783" s="84"/>
      <c r="L783" s="84"/>
    </row>
    <row r="784" spans="2:12" x14ac:dyDescent="0.25">
      <c r="B784" s="85">
        <v>40795</v>
      </c>
      <c r="C784" s="85"/>
      <c r="D784" s="85"/>
      <c r="E784" s="85"/>
      <c r="F784" s="85"/>
      <c r="G784" s="85"/>
      <c r="H784" s="85"/>
      <c r="I784" s="85"/>
      <c r="J784" s="85"/>
      <c r="K784" s="85"/>
      <c r="L784" s="85"/>
    </row>
    <row r="785" spans="2:12" x14ac:dyDescent="0.25">
      <c r="B785" s="84">
        <v>40895</v>
      </c>
      <c r="C785" s="84"/>
      <c r="D785" s="84"/>
      <c r="E785" s="84"/>
      <c r="F785" s="84"/>
      <c r="G785" s="84"/>
      <c r="H785" s="84"/>
      <c r="I785" s="84"/>
      <c r="J785" s="84"/>
      <c r="K785" s="84"/>
      <c r="L785" s="84"/>
    </row>
    <row r="786" spans="2:12" x14ac:dyDescent="0.25">
      <c r="B786" s="85">
        <v>40995</v>
      </c>
      <c r="C786" s="85"/>
      <c r="D786" s="85"/>
      <c r="E786" s="85"/>
      <c r="F786" s="85"/>
      <c r="G786" s="85"/>
      <c r="H786" s="85"/>
      <c r="I786" s="85"/>
      <c r="J786" s="85"/>
      <c r="K786" s="85"/>
      <c r="L786" s="85"/>
    </row>
    <row r="787" spans="2:12" x14ac:dyDescent="0.25">
      <c r="B787" s="84">
        <v>41095</v>
      </c>
      <c r="C787" s="84"/>
      <c r="D787" s="84"/>
      <c r="E787" s="84"/>
      <c r="F787" s="84"/>
      <c r="G787" s="84"/>
      <c r="H787" s="84"/>
      <c r="I787" s="84"/>
      <c r="J787" s="84"/>
      <c r="K787" s="84"/>
      <c r="L787" s="84"/>
    </row>
    <row r="788" spans="2:12" x14ac:dyDescent="0.25">
      <c r="B788" s="85">
        <v>41195</v>
      </c>
      <c r="C788" s="85"/>
      <c r="D788" s="85"/>
      <c r="E788" s="85"/>
      <c r="F788" s="85"/>
      <c r="G788" s="85"/>
      <c r="H788" s="85"/>
      <c r="I788" s="85"/>
      <c r="J788" s="85"/>
      <c r="K788" s="85"/>
      <c r="L788" s="85"/>
    </row>
    <row r="789" spans="2:12" x14ac:dyDescent="0.25">
      <c r="B789" s="84">
        <v>41295</v>
      </c>
      <c r="C789" s="84"/>
      <c r="D789" s="84"/>
      <c r="E789" s="84"/>
      <c r="F789" s="84"/>
      <c r="G789" s="84"/>
      <c r="H789" s="84"/>
      <c r="I789" s="84"/>
      <c r="J789" s="84"/>
      <c r="K789" s="84"/>
      <c r="L789" s="84"/>
    </row>
    <row r="790" spans="2:12" x14ac:dyDescent="0.25">
      <c r="B790" s="85">
        <v>41395</v>
      </c>
      <c r="C790" s="85"/>
      <c r="D790" s="85"/>
      <c r="E790" s="85"/>
      <c r="F790" s="85"/>
      <c r="G790" s="85"/>
      <c r="H790" s="85"/>
      <c r="I790" s="85"/>
      <c r="J790" s="85"/>
      <c r="K790" s="85"/>
      <c r="L790" s="85"/>
    </row>
    <row r="791" spans="2:12" x14ac:dyDescent="0.25">
      <c r="B791" s="84">
        <v>41495</v>
      </c>
      <c r="C791" s="84"/>
      <c r="D791" s="84"/>
      <c r="E791" s="84"/>
      <c r="F791" s="84"/>
      <c r="G791" s="84"/>
      <c r="H791" s="84"/>
      <c r="I791" s="84"/>
      <c r="J791" s="84"/>
      <c r="K791" s="84"/>
      <c r="L791" s="84"/>
    </row>
    <row r="792" spans="2:12" x14ac:dyDescent="0.25">
      <c r="B792" s="85">
        <v>41595</v>
      </c>
      <c r="C792" s="85"/>
      <c r="D792" s="85"/>
      <c r="E792" s="85"/>
      <c r="F792" s="85"/>
      <c r="G792" s="85"/>
      <c r="H792" s="85"/>
      <c r="I792" s="85"/>
      <c r="J792" s="85"/>
      <c r="K792" s="85"/>
      <c r="L792" s="85"/>
    </row>
    <row r="793" spans="2:12" x14ac:dyDescent="0.25">
      <c r="B793" s="84">
        <v>41695</v>
      </c>
      <c r="C793" s="84"/>
      <c r="D793" s="84"/>
      <c r="E793" s="84"/>
      <c r="F793" s="84"/>
      <c r="G793" s="84"/>
      <c r="H793" s="84"/>
      <c r="I793" s="84"/>
      <c r="J793" s="84"/>
      <c r="K793" s="84"/>
      <c r="L793" s="84"/>
    </row>
    <row r="794" spans="2:12" x14ac:dyDescent="0.25">
      <c r="B794" s="85">
        <v>41795</v>
      </c>
      <c r="C794" s="85"/>
      <c r="D794" s="85"/>
      <c r="E794" s="85"/>
      <c r="F794" s="85"/>
      <c r="G794" s="85"/>
      <c r="H794" s="85"/>
      <c r="I794" s="85"/>
      <c r="J794" s="85"/>
      <c r="K794" s="85"/>
      <c r="L794" s="85"/>
    </row>
    <row r="795" spans="2:12" x14ac:dyDescent="0.25">
      <c r="B795" s="84">
        <v>41895</v>
      </c>
      <c r="C795" s="84"/>
      <c r="D795" s="84"/>
      <c r="E795" s="84"/>
      <c r="F795" s="84"/>
      <c r="G795" s="84"/>
      <c r="H795" s="84"/>
      <c r="I795" s="84"/>
      <c r="J795" s="84"/>
      <c r="K795" s="84"/>
      <c r="L795" s="84"/>
    </row>
    <row r="796" spans="2:12" x14ac:dyDescent="0.25">
      <c r="B796" s="85">
        <v>41995</v>
      </c>
      <c r="C796" s="85"/>
      <c r="D796" s="85"/>
      <c r="E796" s="85"/>
      <c r="F796" s="85"/>
      <c r="G796" s="85"/>
      <c r="H796" s="85"/>
      <c r="I796" s="85"/>
      <c r="J796" s="85"/>
      <c r="K796" s="85"/>
      <c r="L796" s="85"/>
    </row>
    <row r="797" spans="2:12" x14ac:dyDescent="0.25">
      <c r="B797" s="84">
        <v>42095</v>
      </c>
      <c r="C797" s="84"/>
      <c r="D797" s="84"/>
      <c r="E797" s="84"/>
      <c r="F797" s="84"/>
      <c r="G797" s="84"/>
      <c r="H797" s="84"/>
      <c r="I797" s="84"/>
      <c r="J797" s="84"/>
      <c r="K797" s="84"/>
      <c r="L797" s="84"/>
    </row>
    <row r="798" spans="2:12" x14ac:dyDescent="0.25">
      <c r="B798" s="85">
        <v>42195</v>
      </c>
      <c r="C798" s="85"/>
      <c r="D798" s="85"/>
      <c r="E798" s="85"/>
      <c r="F798" s="85"/>
      <c r="G798" s="85"/>
      <c r="H798" s="85"/>
      <c r="I798" s="85"/>
      <c r="J798" s="85"/>
      <c r="K798" s="85"/>
      <c r="L798" s="85"/>
    </row>
    <row r="799" spans="2:12" x14ac:dyDescent="0.25">
      <c r="B799" s="84">
        <v>42295</v>
      </c>
      <c r="C799" s="84"/>
      <c r="D799" s="84"/>
      <c r="E799" s="84"/>
      <c r="F799" s="84"/>
      <c r="G799" s="84"/>
      <c r="H799" s="84"/>
      <c r="I799" s="84"/>
      <c r="J799" s="84"/>
      <c r="K799" s="84"/>
      <c r="L799" s="84"/>
    </row>
    <row r="800" spans="2:12" x14ac:dyDescent="0.25">
      <c r="B800" s="85">
        <v>42395</v>
      </c>
      <c r="C800" s="85"/>
      <c r="D800" s="85"/>
      <c r="E800" s="85"/>
      <c r="F800" s="85"/>
      <c r="G800" s="85"/>
      <c r="H800" s="85"/>
      <c r="I800" s="85"/>
      <c r="J800" s="85"/>
      <c r="K800" s="85"/>
      <c r="L800" s="85"/>
    </row>
    <row r="801" spans="2:12" x14ac:dyDescent="0.25">
      <c r="B801" s="84">
        <v>42495</v>
      </c>
      <c r="C801" s="84"/>
      <c r="D801" s="84"/>
      <c r="E801" s="84"/>
      <c r="F801" s="84"/>
      <c r="G801" s="84"/>
      <c r="H801" s="84"/>
      <c r="I801" s="84"/>
      <c r="J801" s="84"/>
      <c r="K801" s="84"/>
      <c r="L801" s="84"/>
    </row>
    <row r="802" spans="2:12" x14ac:dyDescent="0.25">
      <c r="B802" s="85">
        <v>42595</v>
      </c>
      <c r="C802" s="85"/>
      <c r="D802" s="85"/>
      <c r="E802" s="85"/>
      <c r="F802" s="85"/>
      <c r="G802" s="85"/>
      <c r="H802" s="85"/>
      <c r="I802" s="85"/>
      <c r="J802" s="85"/>
      <c r="K802" s="85"/>
      <c r="L802" s="85"/>
    </row>
    <row r="803" spans="2:12" x14ac:dyDescent="0.25">
      <c r="B803" s="84">
        <v>42695</v>
      </c>
      <c r="C803" s="84"/>
      <c r="D803" s="84"/>
      <c r="E803" s="84"/>
      <c r="F803" s="84"/>
      <c r="G803" s="84"/>
      <c r="H803" s="84"/>
      <c r="I803" s="84"/>
      <c r="J803" s="84"/>
      <c r="K803" s="84"/>
      <c r="L803" s="84"/>
    </row>
    <row r="804" spans="2:12" x14ac:dyDescent="0.25">
      <c r="B804" s="85">
        <v>42795</v>
      </c>
      <c r="C804" s="85"/>
      <c r="D804" s="85"/>
      <c r="E804" s="85"/>
      <c r="F804" s="85"/>
      <c r="G804" s="85"/>
      <c r="H804" s="85"/>
      <c r="I804" s="85"/>
      <c r="J804" s="85"/>
      <c r="K804" s="85"/>
      <c r="L804" s="85"/>
    </row>
    <row r="805" spans="2:12" x14ac:dyDescent="0.25">
      <c r="B805" s="84">
        <v>42895</v>
      </c>
      <c r="C805" s="84"/>
      <c r="D805" s="84"/>
      <c r="E805" s="84"/>
      <c r="F805" s="84"/>
      <c r="G805" s="84"/>
      <c r="H805" s="84"/>
      <c r="I805" s="84"/>
      <c r="J805" s="84"/>
      <c r="K805" s="84"/>
      <c r="L805" s="84"/>
    </row>
    <row r="806" spans="2:12" x14ac:dyDescent="0.25">
      <c r="B806" s="85">
        <v>42995</v>
      </c>
      <c r="C806" s="85"/>
      <c r="D806" s="85"/>
      <c r="E806" s="85"/>
      <c r="F806" s="85"/>
      <c r="G806" s="85"/>
      <c r="H806" s="85"/>
      <c r="I806" s="85"/>
      <c r="J806" s="85"/>
      <c r="K806" s="85"/>
      <c r="L806" s="85"/>
    </row>
    <row r="807" spans="2:12" x14ac:dyDescent="0.25">
      <c r="B807" s="84">
        <v>43095</v>
      </c>
      <c r="C807" s="84"/>
      <c r="D807" s="84"/>
      <c r="E807" s="84"/>
      <c r="F807" s="84"/>
      <c r="G807" s="84"/>
      <c r="H807" s="84"/>
      <c r="I807" s="84"/>
      <c r="J807" s="84"/>
      <c r="K807" s="84"/>
      <c r="L807" s="84"/>
    </row>
    <row r="808" spans="2:12" x14ac:dyDescent="0.25">
      <c r="B808" s="85">
        <v>43195</v>
      </c>
      <c r="C808" s="85"/>
      <c r="D808" s="85"/>
      <c r="E808" s="85"/>
      <c r="F808" s="85"/>
      <c r="G808" s="85"/>
      <c r="H808" s="85"/>
      <c r="I808" s="85"/>
      <c r="J808" s="85"/>
      <c r="K808" s="85"/>
      <c r="L808" s="85"/>
    </row>
    <row r="809" spans="2:12" x14ac:dyDescent="0.25">
      <c r="B809" s="84">
        <v>43295</v>
      </c>
      <c r="C809" s="84"/>
      <c r="D809" s="84"/>
      <c r="E809" s="84"/>
      <c r="F809" s="84"/>
      <c r="G809" s="84"/>
      <c r="H809" s="84"/>
      <c r="I809" s="84"/>
      <c r="J809" s="84"/>
      <c r="K809" s="84"/>
      <c r="L809" s="84"/>
    </row>
    <row r="810" spans="2:12" x14ac:dyDescent="0.25">
      <c r="B810" s="85">
        <v>43395</v>
      </c>
      <c r="C810" s="85"/>
      <c r="D810" s="85"/>
      <c r="E810" s="85"/>
      <c r="F810" s="85"/>
      <c r="G810" s="85"/>
      <c r="H810" s="85"/>
      <c r="I810" s="85"/>
      <c r="J810" s="85"/>
      <c r="K810" s="85"/>
      <c r="L810" s="85"/>
    </row>
    <row r="811" spans="2:12" x14ac:dyDescent="0.25">
      <c r="B811" s="84">
        <v>43495</v>
      </c>
      <c r="C811" s="84"/>
      <c r="D811" s="84"/>
      <c r="E811" s="84"/>
      <c r="F811" s="84"/>
      <c r="G811" s="84"/>
      <c r="H811" s="84"/>
      <c r="I811" s="84"/>
      <c r="J811" s="84"/>
      <c r="K811" s="84"/>
      <c r="L811" s="84"/>
    </row>
    <row r="812" spans="2:12" x14ac:dyDescent="0.25">
      <c r="B812" s="85">
        <v>43595</v>
      </c>
      <c r="C812" s="85"/>
      <c r="D812" s="85"/>
      <c r="E812" s="85"/>
      <c r="F812" s="85"/>
      <c r="G812" s="85"/>
      <c r="H812" s="85"/>
      <c r="I812" s="85"/>
      <c r="J812" s="85"/>
      <c r="K812" s="85"/>
      <c r="L812" s="85"/>
    </row>
    <row r="813" spans="2:12" x14ac:dyDescent="0.25">
      <c r="B813" s="84">
        <v>43695</v>
      </c>
      <c r="C813" s="84"/>
      <c r="D813" s="84"/>
      <c r="E813" s="84"/>
      <c r="F813" s="84"/>
      <c r="G813" s="84"/>
      <c r="H813" s="84"/>
      <c r="I813" s="84"/>
      <c r="J813" s="84"/>
      <c r="K813" s="84"/>
      <c r="L813" s="84"/>
    </row>
    <row r="814" spans="2:12" x14ac:dyDescent="0.25">
      <c r="B814" s="85">
        <v>43795</v>
      </c>
      <c r="C814" s="85"/>
      <c r="D814" s="85"/>
      <c r="E814" s="85"/>
      <c r="F814" s="85"/>
      <c r="G814" s="85"/>
      <c r="H814" s="85"/>
      <c r="I814" s="85"/>
      <c r="J814" s="85"/>
      <c r="K814" s="85"/>
      <c r="L814" s="85"/>
    </row>
    <row r="815" spans="2:12" x14ac:dyDescent="0.25">
      <c r="B815" s="84">
        <v>43895</v>
      </c>
      <c r="C815" s="84"/>
      <c r="D815" s="84"/>
      <c r="E815" s="84"/>
      <c r="F815" s="84"/>
      <c r="G815" s="84"/>
      <c r="H815" s="84"/>
      <c r="I815" s="84"/>
      <c r="J815" s="84"/>
      <c r="K815" s="84"/>
      <c r="L815" s="84"/>
    </row>
    <row r="816" spans="2:12" x14ac:dyDescent="0.25">
      <c r="B816" s="85">
        <v>43995</v>
      </c>
      <c r="C816" s="85"/>
      <c r="D816" s="85"/>
      <c r="E816" s="85"/>
      <c r="F816" s="85"/>
      <c r="G816" s="85"/>
      <c r="H816" s="85"/>
      <c r="I816" s="85"/>
      <c r="J816" s="85"/>
      <c r="K816" s="85"/>
      <c r="L816" s="85"/>
    </row>
    <row r="817" spans="2:12" x14ac:dyDescent="0.25">
      <c r="B817" s="84">
        <v>44095</v>
      </c>
      <c r="C817" s="84"/>
      <c r="D817" s="84"/>
      <c r="E817" s="84"/>
      <c r="F817" s="84"/>
      <c r="G817" s="84"/>
      <c r="H817" s="84"/>
      <c r="I817" s="84"/>
      <c r="J817" s="84"/>
      <c r="K817" s="84"/>
      <c r="L817" s="84"/>
    </row>
    <row r="818" spans="2:12" x14ac:dyDescent="0.25">
      <c r="B818" s="85">
        <v>44195</v>
      </c>
      <c r="C818" s="85"/>
      <c r="D818" s="85"/>
      <c r="E818" s="85"/>
      <c r="F818" s="85"/>
      <c r="G818" s="85"/>
      <c r="H818" s="85"/>
      <c r="I818" s="85"/>
      <c r="J818" s="85"/>
      <c r="K818" s="85"/>
      <c r="L818" s="85"/>
    </row>
    <row r="819" spans="2:12" x14ac:dyDescent="0.25">
      <c r="B819" s="84">
        <v>44295</v>
      </c>
      <c r="C819" s="84"/>
      <c r="D819" s="84"/>
      <c r="E819" s="84"/>
      <c r="F819" s="84"/>
      <c r="G819" s="84"/>
      <c r="H819" s="84"/>
      <c r="I819" s="84"/>
      <c r="J819" s="84"/>
      <c r="K819" s="84"/>
      <c r="L819" s="84"/>
    </row>
    <row r="820" spans="2:12" x14ac:dyDescent="0.25">
      <c r="B820" s="85">
        <v>44395</v>
      </c>
      <c r="C820" s="85"/>
      <c r="D820" s="85"/>
      <c r="E820" s="85"/>
      <c r="F820" s="85"/>
      <c r="G820" s="85"/>
      <c r="H820" s="85"/>
      <c r="I820" s="85"/>
      <c r="J820" s="85"/>
      <c r="K820" s="85"/>
      <c r="L820" s="85"/>
    </row>
    <row r="821" spans="2:12" x14ac:dyDescent="0.25">
      <c r="B821" s="84">
        <v>44495</v>
      </c>
      <c r="C821" s="84"/>
      <c r="D821" s="84"/>
      <c r="E821" s="84"/>
      <c r="F821" s="84"/>
      <c r="G821" s="84"/>
      <c r="H821" s="84"/>
      <c r="I821" s="84"/>
      <c r="J821" s="84"/>
      <c r="K821" s="84"/>
      <c r="L821" s="84"/>
    </row>
    <row r="822" spans="2:12" x14ac:dyDescent="0.25">
      <c r="B822" s="85">
        <v>44595</v>
      </c>
      <c r="C822" s="85"/>
      <c r="D822" s="85"/>
      <c r="E822" s="85"/>
      <c r="F822" s="85"/>
      <c r="G822" s="85"/>
      <c r="H822" s="85"/>
      <c r="I822" s="85"/>
      <c r="J822" s="85"/>
      <c r="K822" s="85"/>
      <c r="L822" s="85"/>
    </row>
    <row r="823" spans="2:12" x14ac:dyDescent="0.25">
      <c r="B823" s="84">
        <v>44695</v>
      </c>
      <c r="C823" s="84"/>
      <c r="D823" s="84"/>
      <c r="E823" s="84"/>
      <c r="F823" s="84"/>
      <c r="G823" s="84"/>
      <c r="H823" s="84"/>
      <c r="I823" s="84"/>
      <c r="J823" s="84"/>
      <c r="K823" s="84"/>
      <c r="L823" s="84"/>
    </row>
    <row r="824" spans="2:12" x14ac:dyDescent="0.25">
      <c r="B824" s="85">
        <v>44795</v>
      </c>
      <c r="C824" s="85"/>
      <c r="D824" s="85"/>
      <c r="E824" s="85"/>
      <c r="F824" s="85"/>
      <c r="G824" s="85"/>
      <c r="H824" s="85"/>
      <c r="I824" s="85"/>
      <c r="J824" s="85"/>
      <c r="K824" s="85"/>
      <c r="L824" s="85"/>
    </row>
    <row r="825" spans="2:12" x14ac:dyDescent="0.25">
      <c r="B825" s="84">
        <v>44895</v>
      </c>
      <c r="C825" s="84"/>
      <c r="D825" s="84"/>
      <c r="E825" s="84"/>
      <c r="F825" s="84"/>
      <c r="G825" s="84"/>
      <c r="H825" s="84"/>
      <c r="I825" s="84"/>
      <c r="J825" s="84"/>
      <c r="K825" s="84"/>
      <c r="L825" s="84"/>
    </row>
    <row r="826" spans="2:12" x14ac:dyDescent="0.25">
      <c r="B826" s="85">
        <v>44995</v>
      </c>
      <c r="C826" s="85"/>
      <c r="D826" s="85"/>
      <c r="E826" s="85"/>
      <c r="F826" s="85"/>
      <c r="G826" s="85"/>
      <c r="H826" s="85"/>
      <c r="I826" s="85"/>
      <c r="J826" s="85"/>
      <c r="K826" s="85"/>
      <c r="L826" s="85"/>
    </row>
    <row r="827" spans="2:12" x14ac:dyDescent="0.25">
      <c r="B827" s="84">
        <v>45095</v>
      </c>
      <c r="C827" s="84"/>
      <c r="D827" s="84"/>
      <c r="E827" s="84"/>
      <c r="F827" s="84"/>
      <c r="G827" s="84"/>
      <c r="H827" s="84"/>
      <c r="I827" s="84"/>
      <c r="J827" s="84"/>
      <c r="K827" s="84"/>
      <c r="L827" s="84"/>
    </row>
    <row r="828" spans="2:12" x14ac:dyDescent="0.25">
      <c r="B828" s="85">
        <v>45195</v>
      </c>
      <c r="C828" s="85"/>
      <c r="D828" s="85"/>
      <c r="E828" s="85"/>
      <c r="F828" s="85"/>
      <c r="G828" s="85"/>
      <c r="H828" s="85"/>
      <c r="I828" s="85"/>
      <c r="J828" s="85"/>
      <c r="K828" s="85"/>
      <c r="L828" s="85"/>
    </row>
    <row r="829" spans="2:12" x14ac:dyDescent="0.25">
      <c r="B829" s="84">
        <v>45295</v>
      </c>
      <c r="C829" s="84"/>
      <c r="D829" s="84"/>
      <c r="E829" s="84"/>
      <c r="F829" s="84"/>
      <c r="G829" s="84"/>
      <c r="H829" s="84"/>
      <c r="I829" s="84"/>
      <c r="J829" s="84"/>
      <c r="K829" s="84"/>
      <c r="L829" s="84"/>
    </row>
    <row r="830" spans="2:12" x14ac:dyDescent="0.25">
      <c r="B830" s="85">
        <v>45395</v>
      </c>
      <c r="C830" s="85"/>
      <c r="D830" s="85"/>
      <c r="E830" s="85"/>
      <c r="F830" s="85"/>
      <c r="G830" s="85"/>
      <c r="H830" s="85"/>
      <c r="I830" s="85"/>
      <c r="J830" s="85"/>
      <c r="K830" s="85"/>
      <c r="L830" s="85"/>
    </row>
    <row r="831" spans="2:12" x14ac:dyDescent="0.25">
      <c r="B831" s="84">
        <v>45495</v>
      </c>
      <c r="C831" s="84"/>
      <c r="D831" s="84"/>
      <c r="E831" s="84"/>
      <c r="F831" s="84"/>
      <c r="G831" s="84"/>
      <c r="H831" s="84"/>
      <c r="I831" s="84"/>
      <c r="J831" s="84"/>
      <c r="K831" s="84"/>
      <c r="L831" s="84"/>
    </row>
    <row r="832" spans="2:12" x14ac:dyDescent="0.25">
      <c r="B832" s="85">
        <v>45595</v>
      </c>
      <c r="C832" s="85"/>
      <c r="D832" s="85"/>
      <c r="E832" s="85"/>
      <c r="F832" s="85"/>
      <c r="G832" s="85"/>
      <c r="H832" s="85"/>
      <c r="I832" s="85"/>
      <c r="J832" s="85"/>
      <c r="K832" s="85"/>
      <c r="L832" s="85"/>
    </row>
    <row r="833" spans="2:12" x14ac:dyDescent="0.25">
      <c r="B833" s="84">
        <v>45695</v>
      </c>
      <c r="C833" s="84"/>
      <c r="D833" s="84"/>
      <c r="E833" s="84"/>
      <c r="F833" s="84"/>
      <c r="G833" s="84"/>
      <c r="H833" s="84"/>
      <c r="I833" s="84"/>
      <c r="J833" s="84"/>
      <c r="K833" s="84"/>
      <c r="L833" s="84"/>
    </row>
    <row r="834" spans="2:12" x14ac:dyDescent="0.25">
      <c r="B834" s="85">
        <v>45795</v>
      </c>
      <c r="C834" s="85"/>
      <c r="D834" s="85"/>
      <c r="E834" s="85"/>
      <c r="F834" s="85"/>
      <c r="G834" s="85"/>
      <c r="H834" s="85"/>
      <c r="I834" s="85"/>
      <c r="J834" s="85"/>
      <c r="K834" s="85"/>
      <c r="L834" s="85"/>
    </row>
    <row r="835" spans="2:12" x14ac:dyDescent="0.25">
      <c r="B835" s="84">
        <v>45895</v>
      </c>
      <c r="C835" s="84"/>
      <c r="D835" s="84"/>
      <c r="E835" s="84"/>
      <c r="F835" s="84"/>
      <c r="G835" s="84"/>
      <c r="H835" s="84"/>
      <c r="I835" s="84"/>
      <c r="J835" s="84"/>
      <c r="K835" s="84"/>
      <c r="L835" s="84"/>
    </row>
    <row r="836" spans="2:12" x14ac:dyDescent="0.25">
      <c r="B836" s="85">
        <v>45995</v>
      </c>
      <c r="C836" s="85"/>
      <c r="D836" s="85"/>
      <c r="E836" s="85"/>
      <c r="F836" s="85"/>
      <c r="G836" s="85"/>
      <c r="H836" s="85"/>
      <c r="I836" s="85"/>
      <c r="J836" s="85"/>
      <c r="K836" s="85"/>
      <c r="L836" s="85"/>
    </row>
    <row r="837" spans="2:12" x14ac:dyDescent="0.25">
      <c r="B837" s="84">
        <v>46095</v>
      </c>
      <c r="C837" s="84"/>
      <c r="D837" s="84"/>
      <c r="E837" s="84"/>
      <c r="F837" s="84"/>
      <c r="G837" s="84"/>
      <c r="H837" s="84"/>
      <c r="I837" s="84"/>
      <c r="J837" s="84"/>
      <c r="K837" s="84"/>
      <c r="L837" s="84"/>
    </row>
    <row r="838" spans="2:12" x14ac:dyDescent="0.25">
      <c r="B838" s="85">
        <v>46195</v>
      </c>
      <c r="C838" s="85"/>
      <c r="D838" s="85"/>
      <c r="E838" s="85"/>
      <c r="F838" s="85"/>
      <c r="G838" s="85"/>
      <c r="H838" s="85"/>
      <c r="I838" s="85"/>
      <c r="J838" s="85"/>
      <c r="K838" s="85"/>
      <c r="L838" s="85"/>
    </row>
    <row r="839" spans="2:12" x14ac:dyDescent="0.25">
      <c r="B839" s="84">
        <v>46295</v>
      </c>
      <c r="C839" s="84"/>
      <c r="D839" s="84"/>
      <c r="E839" s="84"/>
      <c r="F839" s="84"/>
      <c r="G839" s="84"/>
      <c r="H839" s="84"/>
      <c r="I839" s="84"/>
      <c r="J839" s="84"/>
      <c r="K839" s="84"/>
      <c r="L839" s="84"/>
    </row>
    <row r="840" spans="2:12" x14ac:dyDescent="0.25">
      <c r="B840" s="85">
        <v>46395</v>
      </c>
      <c r="C840" s="85"/>
      <c r="D840" s="85"/>
      <c r="E840" s="85"/>
      <c r="F840" s="85"/>
      <c r="G840" s="85"/>
      <c r="H840" s="85"/>
      <c r="I840" s="85"/>
      <c r="J840" s="85"/>
      <c r="K840" s="85"/>
      <c r="L840" s="85"/>
    </row>
    <row r="841" spans="2:12" x14ac:dyDescent="0.25">
      <c r="B841" s="84">
        <v>46495</v>
      </c>
      <c r="C841" s="84"/>
      <c r="D841" s="84"/>
      <c r="E841" s="84"/>
      <c r="F841" s="84"/>
      <c r="G841" s="84"/>
      <c r="H841" s="84"/>
      <c r="I841" s="84"/>
      <c r="J841" s="84"/>
      <c r="K841" s="84"/>
      <c r="L841" s="84"/>
    </row>
    <row r="842" spans="2:12" x14ac:dyDescent="0.25">
      <c r="B842" s="85">
        <v>46595</v>
      </c>
      <c r="C842" s="85"/>
      <c r="D842" s="85"/>
      <c r="E842" s="85"/>
      <c r="F842" s="85"/>
      <c r="G842" s="85"/>
      <c r="H842" s="85"/>
      <c r="I842" s="85"/>
      <c r="J842" s="85"/>
      <c r="K842" s="85"/>
      <c r="L842" s="85"/>
    </row>
    <row r="843" spans="2:12" x14ac:dyDescent="0.25">
      <c r="B843" s="84">
        <v>46695</v>
      </c>
      <c r="C843" s="84"/>
      <c r="D843" s="84"/>
      <c r="E843" s="84"/>
      <c r="F843" s="84"/>
      <c r="G843" s="84"/>
      <c r="H843" s="84"/>
      <c r="I843" s="84"/>
      <c r="J843" s="84"/>
      <c r="K843" s="84"/>
      <c r="L843" s="84"/>
    </row>
    <row r="844" spans="2:12" x14ac:dyDescent="0.25">
      <c r="B844" s="85">
        <v>46795</v>
      </c>
      <c r="C844" s="85"/>
      <c r="D844" s="85"/>
      <c r="E844" s="85"/>
      <c r="F844" s="85"/>
      <c r="G844" s="85"/>
      <c r="H844" s="85"/>
      <c r="I844" s="85"/>
      <c r="J844" s="85"/>
      <c r="K844" s="85"/>
      <c r="L844" s="85"/>
    </row>
    <row r="845" spans="2:12" x14ac:dyDescent="0.25">
      <c r="B845" s="84">
        <v>46895</v>
      </c>
      <c r="C845" s="84"/>
      <c r="D845" s="84"/>
      <c r="E845" s="84"/>
      <c r="F845" s="84"/>
      <c r="G845" s="84"/>
      <c r="H845" s="84"/>
      <c r="I845" s="84"/>
      <c r="J845" s="84"/>
      <c r="K845" s="84"/>
      <c r="L845" s="84"/>
    </row>
    <row r="846" spans="2:12" x14ac:dyDescent="0.25">
      <c r="B846" s="85">
        <v>46995</v>
      </c>
      <c r="C846" s="85"/>
      <c r="D846" s="85"/>
      <c r="E846" s="85"/>
      <c r="F846" s="85"/>
      <c r="G846" s="85"/>
      <c r="H846" s="85"/>
      <c r="I846" s="85"/>
      <c r="J846" s="85"/>
      <c r="K846" s="85"/>
      <c r="L846" s="85"/>
    </row>
    <row r="847" spans="2:12" x14ac:dyDescent="0.25">
      <c r="B847" s="84">
        <v>47095</v>
      </c>
      <c r="C847" s="84"/>
      <c r="D847" s="84"/>
      <c r="E847" s="84"/>
      <c r="F847" s="84"/>
      <c r="G847" s="84"/>
      <c r="H847" s="84"/>
      <c r="I847" s="84"/>
      <c r="J847" s="84"/>
      <c r="K847" s="84"/>
      <c r="L847" s="84"/>
    </row>
    <row r="848" spans="2:12" x14ac:dyDescent="0.25">
      <c r="B848" s="85">
        <v>47195</v>
      </c>
      <c r="C848" s="85"/>
      <c r="D848" s="85"/>
      <c r="E848" s="85"/>
      <c r="F848" s="85"/>
      <c r="G848" s="85"/>
      <c r="H848" s="85"/>
      <c r="I848" s="85"/>
      <c r="J848" s="85"/>
      <c r="K848" s="85"/>
      <c r="L848" s="85"/>
    </row>
    <row r="849" spans="2:12" x14ac:dyDescent="0.25">
      <c r="B849" s="84">
        <v>47295</v>
      </c>
      <c r="C849" s="84"/>
      <c r="D849" s="84"/>
      <c r="E849" s="84"/>
      <c r="F849" s="84"/>
      <c r="G849" s="84"/>
      <c r="H849" s="84"/>
      <c r="I849" s="84"/>
      <c r="J849" s="84"/>
      <c r="K849" s="84"/>
      <c r="L849" s="84"/>
    </row>
    <row r="850" spans="2:12" x14ac:dyDescent="0.25">
      <c r="B850" s="85">
        <v>47395</v>
      </c>
      <c r="C850" s="85"/>
      <c r="D850" s="85"/>
      <c r="E850" s="85"/>
      <c r="F850" s="85"/>
      <c r="G850" s="85"/>
      <c r="H850" s="85"/>
      <c r="I850" s="85"/>
      <c r="J850" s="85"/>
      <c r="K850" s="85"/>
      <c r="L850" s="85"/>
    </row>
    <row r="851" spans="2:12" x14ac:dyDescent="0.25">
      <c r="B851" s="84">
        <v>47495</v>
      </c>
      <c r="C851" s="84"/>
      <c r="D851" s="84"/>
      <c r="E851" s="84"/>
      <c r="F851" s="84"/>
      <c r="G851" s="84"/>
      <c r="H851" s="84"/>
      <c r="I851" s="84"/>
      <c r="J851" s="84"/>
      <c r="K851" s="84"/>
      <c r="L851" s="84"/>
    </row>
    <row r="852" spans="2:12" x14ac:dyDescent="0.25">
      <c r="B852" s="85">
        <v>47595</v>
      </c>
      <c r="C852" s="85"/>
      <c r="D852" s="85"/>
      <c r="E852" s="85"/>
      <c r="F852" s="85"/>
      <c r="G852" s="85"/>
      <c r="H852" s="85"/>
      <c r="I852" s="85"/>
      <c r="J852" s="85"/>
      <c r="K852" s="85"/>
      <c r="L852" s="85"/>
    </row>
    <row r="853" spans="2:12" x14ac:dyDescent="0.25">
      <c r="B853" s="84">
        <v>47695</v>
      </c>
      <c r="C853" s="84"/>
      <c r="D853" s="84"/>
      <c r="E853" s="84"/>
      <c r="F853" s="84"/>
      <c r="G853" s="84"/>
      <c r="H853" s="84"/>
      <c r="I853" s="84"/>
      <c r="J853" s="84"/>
      <c r="K853" s="84"/>
      <c r="L853" s="84"/>
    </row>
    <row r="854" spans="2:12" x14ac:dyDescent="0.25">
      <c r="B854" s="85">
        <v>47795</v>
      </c>
      <c r="C854" s="85"/>
      <c r="D854" s="85"/>
      <c r="E854" s="85"/>
      <c r="F854" s="85"/>
      <c r="G854" s="85"/>
      <c r="H854" s="85"/>
      <c r="I854" s="85"/>
      <c r="J854" s="85"/>
      <c r="K854" s="85"/>
      <c r="L854" s="85"/>
    </row>
    <row r="855" spans="2:12" x14ac:dyDescent="0.25">
      <c r="B855" s="84">
        <v>47895</v>
      </c>
      <c r="C855" s="84"/>
      <c r="D855" s="84"/>
      <c r="E855" s="84"/>
      <c r="F855" s="84"/>
      <c r="G855" s="84"/>
      <c r="H855" s="84"/>
      <c r="I855" s="84"/>
      <c r="J855" s="84"/>
      <c r="K855" s="84"/>
      <c r="L855" s="84"/>
    </row>
    <row r="856" spans="2:12" x14ac:dyDescent="0.25">
      <c r="B856" s="85">
        <v>47995</v>
      </c>
      <c r="C856" s="85"/>
      <c r="D856" s="85"/>
      <c r="E856" s="85"/>
      <c r="F856" s="85"/>
      <c r="G856" s="85"/>
      <c r="H856" s="85"/>
      <c r="I856" s="85"/>
      <c r="J856" s="85"/>
      <c r="K856" s="85"/>
      <c r="L856" s="85"/>
    </row>
    <row r="857" spans="2:12" x14ac:dyDescent="0.25">
      <c r="B857" s="84">
        <v>48095</v>
      </c>
      <c r="C857" s="84"/>
      <c r="D857" s="84"/>
      <c r="E857" s="84"/>
      <c r="F857" s="84"/>
      <c r="G857" s="84"/>
      <c r="H857" s="84"/>
      <c r="I857" s="84"/>
      <c r="J857" s="84"/>
      <c r="K857" s="84"/>
      <c r="L857" s="84"/>
    </row>
    <row r="858" spans="2:12" x14ac:dyDescent="0.25">
      <c r="B858" s="85">
        <v>48195</v>
      </c>
      <c r="C858" s="85"/>
      <c r="D858" s="85"/>
      <c r="E858" s="85"/>
      <c r="F858" s="85"/>
      <c r="G858" s="85"/>
      <c r="H858" s="85"/>
      <c r="I858" s="85"/>
      <c r="J858" s="85"/>
      <c r="K858" s="85"/>
      <c r="L858" s="85"/>
    </row>
    <row r="859" spans="2:12" x14ac:dyDescent="0.25">
      <c r="B859" s="84">
        <v>48295</v>
      </c>
      <c r="C859" s="84"/>
      <c r="D859" s="84"/>
      <c r="E859" s="84"/>
      <c r="F859" s="84"/>
      <c r="G859" s="84"/>
      <c r="H859" s="84"/>
      <c r="I859" s="84"/>
      <c r="J859" s="84"/>
      <c r="K859" s="84"/>
      <c r="L859" s="84"/>
    </row>
    <row r="860" spans="2:12" x14ac:dyDescent="0.25">
      <c r="B860" s="85">
        <v>48395</v>
      </c>
      <c r="C860" s="85"/>
      <c r="D860" s="85"/>
      <c r="E860" s="85"/>
      <c r="F860" s="85"/>
      <c r="G860" s="85"/>
      <c r="H860" s="85"/>
      <c r="I860" s="85"/>
      <c r="J860" s="85"/>
      <c r="K860" s="85"/>
      <c r="L860" s="85"/>
    </row>
    <row r="861" spans="2:12" x14ac:dyDescent="0.25">
      <c r="B861" s="84">
        <v>48495</v>
      </c>
      <c r="C861" s="84"/>
      <c r="D861" s="84"/>
      <c r="E861" s="84"/>
      <c r="F861" s="84"/>
      <c r="G861" s="84"/>
      <c r="H861" s="84"/>
      <c r="I861" s="84"/>
      <c r="J861" s="84"/>
      <c r="K861" s="84"/>
      <c r="L861" s="84"/>
    </row>
    <row r="862" spans="2:12" x14ac:dyDescent="0.25">
      <c r="B862" s="85">
        <v>48595</v>
      </c>
      <c r="C862" s="85"/>
      <c r="D862" s="85"/>
      <c r="E862" s="85"/>
      <c r="F862" s="85"/>
      <c r="G862" s="85"/>
      <c r="H862" s="85"/>
      <c r="I862" s="85"/>
      <c r="J862" s="85"/>
      <c r="K862" s="85"/>
      <c r="L862" s="85"/>
    </row>
    <row r="863" spans="2:12" x14ac:dyDescent="0.25">
      <c r="B863" s="84">
        <v>48695</v>
      </c>
      <c r="C863" s="84"/>
      <c r="D863" s="84"/>
      <c r="E863" s="84"/>
      <c r="F863" s="84"/>
      <c r="G863" s="84"/>
      <c r="H863" s="84"/>
      <c r="I863" s="84"/>
      <c r="J863" s="84"/>
      <c r="K863" s="84"/>
      <c r="L863" s="84"/>
    </row>
    <row r="864" spans="2:12" x14ac:dyDescent="0.25">
      <c r="B864" s="85">
        <v>48795</v>
      </c>
      <c r="C864" s="85"/>
      <c r="D864" s="85"/>
      <c r="E864" s="85"/>
      <c r="F864" s="85"/>
      <c r="G864" s="85"/>
      <c r="H864" s="85"/>
      <c r="I864" s="85"/>
      <c r="J864" s="85"/>
      <c r="K864" s="85"/>
      <c r="L864" s="85"/>
    </row>
    <row r="865" spans="2:12" x14ac:dyDescent="0.25">
      <c r="B865" s="84">
        <v>48895</v>
      </c>
      <c r="C865" s="84"/>
      <c r="D865" s="84"/>
      <c r="E865" s="84"/>
      <c r="F865" s="84"/>
      <c r="G865" s="84"/>
      <c r="H865" s="84"/>
      <c r="I865" s="84"/>
      <c r="J865" s="84"/>
      <c r="K865" s="84"/>
      <c r="L865" s="84"/>
    </row>
    <row r="866" spans="2:12" x14ac:dyDescent="0.25">
      <c r="B866" s="85">
        <v>48995</v>
      </c>
      <c r="C866" s="85"/>
      <c r="D866" s="85"/>
      <c r="E866" s="85"/>
      <c r="F866" s="85"/>
      <c r="G866" s="85"/>
      <c r="H866" s="85"/>
      <c r="I866" s="85"/>
      <c r="J866" s="85"/>
      <c r="K866" s="85"/>
      <c r="L866" s="85"/>
    </row>
    <row r="867" spans="2:12" x14ac:dyDescent="0.25">
      <c r="B867" s="84">
        <v>49095</v>
      </c>
      <c r="C867" s="84"/>
      <c r="D867" s="84"/>
      <c r="E867" s="84"/>
      <c r="F867" s="84"/>
      <c r="G867" s="84"/>
      <c r="H867" s="84"/>
      <c r="I867" s="84"/>
      <c r="J867" s="84"/>
      <c r="K867" s="84"/>
      <c r="L867" s="84"/>
    </row>
    <row r="868" spans="2:12" x14ac:dyDescent="0.25">
      <c r="B868" s="85">
        <v>49195</v>
      </c>
      <c r="C868" s="85"/>
      <c r="D868" s="85"/>
      <c r="E868" s="85"/>
      <c r="F868" s="85"/>
      <c r="G868" s="85"/>
      <c r="H868" s="85"/>
      <c r="I868" s="85"/>
      <c r="J868" s="85"/>
      <c r="K868" s="85"/>
      <c r="L868" s="85"/>
    </row>
    <row r="869" spans="2:12" x14ac:dyDescent="0.25">
      <c r="B869" s="84">
        <v>49295</v>
      </c>
      <c r="C869" s="84"/>
      <c r="D869" s="84"/>
      <c r="E869" s="84"/>
      <c r="F869" s="84"/>
      <c r="G869" s="84"/>
      <c r="H869" s="84"/>
      <c r="I869" s="84"/>
      <c r="J869" s="84"/>
      <c r="K869" s="84"/>
      <c r="L869" s="84"/>
    </row>
    <row r="870" spans="2:12" x14ac:dyDescent="0.25">
      <c r="B870" s="85">
        <v>49395</v>
      </c>
      <c r="C870" s="85"/>
      <c r="D870" s="85"/>
      <c r="E870" s="85"/>
      <c r="F870" s="85"/>
      <c r="G870" s="85"/>
      <c r="H870" s="85"/>
      <c r="I870" s="85"/>
      <c r="J870" s="85"/>
      <c r="K870" s="85"/>
      <c r="L870" s="85"/>
    </row>
    <row r="871" spans="2:12" x14ac:dyDescent="0.25">
      <c r="B871" s="84">
        <v>49495</v>
      </c>
      <c r="C871" s="84"/>
      <c r="D871" s="84"/>
      <c r="E871" s="84"/>
      <c r="F871" s="84"/>
      <c r="G871" s="84"/>
      <c r="H871" s="84"/>
      <c r="I871" s="84"/>
      <c r="J871" s="84"/>
      <c r="K871" s="84"/>
      <c r="L871" s="84"/>
    </row>
    <row r="872" spans="2:12" x14ac:dyDescent="0.25">
      <c r="B872" s="85">
        <v>49595</v>
      </c>
      <c r="C872" s="85"/>
      <c r="D872" s="85"/>
      <c r="E872" s="85"/>
      <c r="F872" s="85"/>
      <c r="G872" s="85"/>
      <c r="H872" s="85"/>
      <c r="I872" s="85"/>
      <c r="J872" s="85"/>
      <c r="K872" s="85"/>
      <c r="L872" s="85"/>
    </row>
    <row r="873" spans="2:12" x14ac:dyDescent="0.25">
      <c r="B873" s="84">
        <v>49695</v>
      </c>
      <c r="C873" s="84"/>
      <c r="D873" s="84"/>
      <c r="E873" s="84"/>
      <c r="F873" s="84"/>
      <c r="G873" s="84"/>
      <c r="H873" s="84"/>
      <c r="I873" s="84"/>
      <c r="J873" s="84"/>
      <c r="K873" s="84"/>
      <c r="L873" s="84"/>
    </row>
    <row r="874" spans="2:12" x14ac:dyDescent="0.25">
      <c r="B874" s="85">
        <v>49795</v>
      </c>
      <c r="C874" s="85"/>
      <c r="D874" s="85"/>
      <c r="E874" s="85"/>
      <c r="F874" s="85"/>
      <c r="G874" s="85"/>
      <c r="H874" s="85"/>
      <c r="I874" s="85"/>
      <c r="J874" s="85"/>
      <c r="K874" s="85"/>
      <c r="L874" s="85"/>
    </row>
    <row r="875" spans="2:12" x14ac:dyDescent="0.25">
      <c r="B875" s="84">
        <v>49895</v>
      </c>
      <c r="C875" s="84"/>
      <c r="D875" s="84"/>
      <c r="E875" s="84"/>
      <c r="F875" s="84"/>
      <c r="G875" s="84"/>
      <c r="H875" s="84"/>
      <c r="I875" s="84"/>
      <c r="J875" s="84"/>
      <c r="K875" s="84"/>
      <c r="L875" s="84"/>
    </row>
    <row r="876" spans="2:12" x14ac:dyDescent="0.25">
      <c r="B876" s="85">
        <v>49995</v>
      </c>
      <c r="C876" s="85"/>
      <c r="D876" s="85"/>
      <c r="E876" s="85"/>
      <c r="F876" s="85"/>
      <c r="G876" s="85"/>
      <c r="H876" s="85"/>
      <c r="I876" s="85"/>
      <c r="J876" s="85"/>
      <c r="K876" s="85"/>
      <c r="L876" s="85"/>
    </row>
    <row r="877" spans="2:12" x14ac:dyDescent="0.25">
      <c r="B877" s="84">
        <v>50095</v>
      </c>
      <c r="C877" s="84"/>
      <c r="D877" s="84"/>
      <c r="E877" s="84"/>
      <c r="F877" s="84"/>
      <c r="G877" s="84"/>
      <c r="H877" s="84"/>
      <c r="I877" s="84"/>
      <c r="J877" s="84"/>
      <c r="K877" s="84"/>
      <c r="L877" s="84"/>
    </row>
    <row r="878" spans="2:12" x14ac:dyDescent="0.25">
      <c r="B878" s="85">
        <v>50195</v>
      </c>
      <c r="C878" s="85"/>
      <c r="D878" s="85"/>
      <c r="E878" s="85"/>
      <c r="F878" s="85"/>
      <c r="G878" s="85"/>
      <c r="H878" s="85"/>
      <c r="I878" s="85"/>
      <c r="J878" s="85"/>
      <c r="K878" s="85"/>
      <c r="L878" s="85"/>
    </row>
    <row r="879" spans="2:12" x14ac:dyDescent="0.25">
      <c r="B879" s="84">
        <v>50295</v>
      </c>
      <c r="C879" s="84"/>
      <c r="D879" s="84"/>
      <c r="E879" s="84"/>
      <c r="F879" s="84"/>
      <c r="G879" s="84"/>
      <c r="H879" s="84"/>
      <c r="I879" s="84"/>
      <c r="J879" s="84"/>
      <c r="K879" s="84"/>
      <c r="L879" s="84"/>
    </row>
    <row r="880" spans="2:12" x14ac:dyDescent="0.25">
      <c r="B880" s="85">
        <v>50395</v>
      </c>
      <c r="C880" s="85"/>
      <c r="D880" s="85"/>
      <c r="E880" s="85"/>
      <c r="F880" s="85"/>
      <c r="G880" s="85"/>
      <c r="H880" s="85"/>
      <c r="I880" s="85"/>
      <c r="J880" s="85"/>
      <c r="K880" s="85"/>
      <c r="L880" s="85"/>
    </row>
    <row r="881" spans="2:12" x14ac:dyDescent="0.25">
      <c r="B881" s="84">
        <v>50495</v>
      </c>
      <c r="C881" s="84"/>
      <c r="D881" s="84"/>
      <c r="E881" s="84"/>
      <c r="F881" s="84"/>
      <c r="G881" s="84"/>
      <c r="H881" s="84"/>
      <c r="I881" s="84"/>
      <c r="J881" s="84"/>
      <c r="K881" s="84"/>
      <c r="L881" s="84"/>
    </row>
    <row r="882" spans="2:12" x14ac:dyDescent="0.25">
      <c r="B882" s="85">
        <v>50595</v>
      </c>
      <c r="C882" s="85"/>
      <c r="D882" s="85"/>
      <c r="E882" s="85"/>
      <c r="F882" s="85"/>
      <c r="G882" s="85"/>
      <c r="H882" s="85"/>
      <c r="I882" s="85"/>
      <c r="J882" s="85"/>
      <c r="K882" s="85"/>
      <c r="L882" s="85"/>
    </row>
    <row r="883" spans="2:12" x14ac:dyDescent="0.25">
      <c r="B883" s="84">
        <v>50695</v>
      </c>
      <c r="C883" s="84"/>
      <c r="D883" s="84"/>
      <c r="E883" s="84"/>
      <c r="F883" s="84"/>
      <c r="G883" s="84"/>
      <c r="H883" s="84"/>
      <c r="I883" s="84"/>
      <c r="J883" s="84"/>
      <c r="K883" s="84"/>
      <c r="L883" s="84"/>
    </row>
    <row r="884" spans="2:12" x14ac:dyDescent="0.25">
      <c r="B884" s="85">
        <v>50795</v>
      </c>
      <c r="C884" s="85"/>
      <c r="D884" s="85"/>
      <c r="E884" s="85"/>
      <c r="F884" s="85"/>
      <c r="G884" s="85"/>
      <c r="H884" s="85"/>
      <c r="I884" s="85"/>
      <c r="J884" s="85"/>
      <c r="K884" s="85"/>
      <c r="L884" s="85"/>
    </row>
    <row r="885" spans="2:12" x14ac:dyDescent="0.25">
      <c r="B885" s="84">
        <v>50895</v>
      </c>
      <c r="C885" s="84"/>
      <c r="D885" s="84"/>
      <c r="E885" s="84"/>
      <c r="F885" s="84"/>
      <c r="G885" s="84"/>
      <c r="H885" s="84"/>
      <c r="I885" s="84"/>
      <c r="J885" s="84"/>
      <c r="K885" s="84"/>
      <c r="L885" s="84"/>
    </row>
    <row r="886" spans="2:12" x14ac:dyDescent="0.25">
      <c r="B886" s="85">
        <v>50995</v>
      </c>
      <c r="C886" s="85"/>
      <c r="D886" s="85"/>
      <c r="E886" s="85"/>
      <c r="F886" s="85"/>
      <c r="G886" s="85"/>
      <c r="H886" s="85"/>
      <c r="I886" s="85"/>
      <c r="J886" s="85"/>
      <c r="K886" s="85"/>
      <c r="L886" s="85"/>
    </row>
    <row r="887" spans="2:12" x14ac:dyDescent="0.25">
      <c r="B887" s="84">
        <v>51095</v>
      </c>
      <c r="C887" s="84"/>
      <c r="D887" s="84"/>
      <c r="E887" s="84"/>
      <c r="F887" s="84"/>
      <c r="G887" s="84"/>
      <c r="H887" s="84"/>
      <c r="I887" s="84"/>
      <c r="J887" s="84"/>
      <c r="K887" s="84"/>
      <c r="L887" s="84"/>
    </row>
    <row r="888" spans="2:12" x14ac:dyDescent="0.25">
      <c r="B888" s="85">
        <v>51195</v>
      </c>
      <c r="C888" s="85"/>
      <c r="D888" s="85"/>
      <c r="E888" s="85"/>
      <c r="F888" s="85"/>
      <c r="G888" s="85"/>
      <c r="H888" s="85"/>
      <c r="I888" s="85"/>
      <c r="J888" s="85"/>
      <c r="K888" s="85"/>
      <c r="L888" s="85"/>
    </row>
    <row r="889" spans="2:12" x14ac:dyDescent="0.25">
      <c r="B889" s="84">
        <v>51295</v>
      </c>
      <c r="C889" s="84"/>
      <c r="D889" s="84"/>
      <c r="E889" s="84"/>
      <c r="F889" s="84"/>
      <c r="G889" s="84"/>
      <c r="H889" s="84"/>
      <c r="I889" s="84"/>
      <c r="J889" s="84"/>
      <c r="K889" s="84"/>
      <c r="L889" s="84"/>
    </row>
    <row r="890" spans="2:12" x14ac:dyDescent="0.25">
      <c r="B890" s="85">
        <v>51395</v>
      </c>
      <c r="C890" s="85"/>
      <c r="D890" s="85"/>
      <c r="E890" s="85"/>
      <c r="F890" s="85"/>
      <c r="G890" s="85"/>
      <c r="H890" s="85"/>
      <c r="I890" s="85"/>
      <c r="J890" s="85"/>
      <c r="K890" s="85"/>
      <c r="L890" s="85"/>
    </row>
    <row r="891" spans="2:12" x14ac:dyDescent="0.25">
      <c r="B891" s="84">
        <v>51495</v>
      </c>
      <c r="C891" s="84"/>
      <c r="D891" s="84"/>
      <c r="E891" s="84"/>
      <c r="F891" s="84"/>
      <c r="G891" s="84"/>
      <c r="H891" s="84"/>
      <c r="I891" s="84"/>
      <c r="J891" s="84"/>
      <c r="K891" s="84"/>
      <c r="L891" s="84"/>
    </row>
    <row r="892" spans="2:12" x14ac:dyDescent="0.25">
      <c r="B892" s="85">
        <v>51595</v>
      </c>
      <c r="C892" s="85"/>
      <c r="D892" s="85"/>
      <c r="E892" s="85"/>
      <c r="F892" s="85"/>
      <c r="G892" s="85"/>
      <c r="H892" s="85"/>
      <c r="I892" s="85"/>
      <c r="J892" s="85"/>
      <c r="K892" s="85"/>
      <c r="L892" s="85"/>
    </row>
    <row r="893" spans="2:12" x14ac:dyDescent="0.25">
      <c r="B893" s="84">
        <v>51695</v>
      </c>
      <c r="C893" s="84"/>
      <c r="D893" s="84"/>
      <c r="E893" s="84"/>
      <c r="F893" s="84"/>
      <c r="G893" s="84"/>
      <c r="H893" s="84"/>
      <c r="I893" s="84"/>
      <c r="J893" s="84"/>
      <c r="K893" s="84"/>
      <c r="L893" s="84"/>
    </row>
    <row r="894" spans="2:12" x14ac:dyDescent="0.25">
      <c r="B894" s="85">
        <v>51795</v>
      </c>
      <c r="C894" s="85"/>
      <c r="D894" s="85"/>
      <c r="E894" s="85"/>
      <c r="F894" s="85"/>
      <c r="G894" s="85"/>
      <c r="H894" s="85"/>
      <c r="I894" s="85"/>
      <c r="J894" s="85"/>
      <c r="K894" s="85"/>
      <c r="L894" s="85"/>
    </row>
    <row r="895" spans="2:12" x14ac:dyDescent="0.25">
      <c r="B895" s="84">
        <v>51895</v>
      </c>
      <c r="C895" s="84"/>
      <c r="D895" s="84"/>
      <c r="E895" s="84"/>
      <c r="F895" s="84"/>
      <c r="G895" s="84"/>
      <c r="H895" s="84"/>
      <c r="I895" s="84"/>
      <c r="J895" s="84"/>
      <c r="K895" s="84"/>
      <c r="L895" s="84"/>
    </row>
    <row r="896" spans="2:12" x14ac:dyDescent="0.25">
      <c r="B896" s="85">
        <v>51995</v>
      </c>
      <c r="C896" s="85"/>
      <c r="D896" s="85"/>
      <c r="E896" s="85"/>
      <c r="F896" s="85"/>
      <c r="G896" s="85"/>
      <c r="H896" s="85"/>
      <c r="I896" s="85"/>
      <c r="J896" s="85"/>
      <c r="K896" s="85"/>
      <c r="L896" s="85"/>
    </row>
    <row r="897" spans="2:12" x14ac:dyDescent="0.25">
      <c r="B897" s="84">
        <v>52095</v>
      </c>
      <c r="C897" s="84"/>
      <c r="D897" s="84"/>
      <c r="E897" s="84"/>
      <c r="F897" s="84"/>
      <c r="G897" s="84"/>
      <c r="H897" s="84"/>
      <c r="I897" s="84"/>
      <c r="J897" s="84"/>
      <c r="K897" s="84"/>
      <c r="L897" s="84"/>
    </row>
    <row r="898" spans="2:12" x14ac:dyDescent="0.25">
      <c r="B898" s="85">
        <v>52195</v>
      </c>
      <c r="C898" s="85"/>
      <c r="D898" s="85"/>
      <c r="E898" s="85"/>
      <c r="F898" s="85"/>
      <c r="G898" s="85"/>
      <c r="H898" s="85"/>
      <c r="I898" s="85"/>
      <c r="J898" s="85"/>
      <c r="K898" s="85"/>
      <c r="L898" s="85"/>
    </row>
    <row r="899" spans="2:12" x14ac:dyDescent="0.25">
      <c r="B899" s="84">
        <v>52295</v>
      </c>
      <c r="C899" s="84"/>
      <c r="D899" s="84"/>
      <c r="E899" s="84"/>
      <c r="F899" s="84"/>
      <c r="G899" s="84"/>
      <c r="H899" s="84"/>
      <c r="I899" s="84"/>
      <c r="J899" s="84"/>
      <c r="K899" s="84"/>
      <c r="L899" s="84"/>
    </row>
    <row r="900" spans="2:12" x14ac:dyDescent="0.25">
      <c r="B900" s="85">
        <v>52395</v>
      </c>
      <c r="C900" s="85"/>
      <c r="D900" s="85"/>
      <c r="E900" s="85"/>
      <c r="F900" s="85"/>
      <c r="G900" s="85"/>
      <c r="H900" s="85"/>
      <c r="I900" s="85"/>
      <c r="J900" s="85"/>
      <c r="K900" s="85"/>
      <c r="L900" s="85"/>
    </row>
    <row r="901" spans="2:12" x14ac:dyDescent="0.25">
      <c r="B901" s="84">
        <v>52495</v>
      </c>
      <c r="C901" s="84"/>
      <c r="D901" s="84"/>
      <c r="E901" s="84"/>
      <c r="F901" s="84"/>
      <c r="G901" s="84"/>
      <c r="H901" s="84"/>
      <c r="I901" s="84"/>
      <c r="J901" s="84"/>
      <c r="K901" s="84"/>
      <c r="L901" s="84"/>
    </row>
    <row r="902" spans="2:12" x14ac:dyDescent="0.25">
      <c r="B902" s="85">
        <v>52595</v>
      </c>
      <c r="C902" s="85"/>
      <c r="D902" s="85"/>
      <c r="E902" s="85"/>
      <c r="F902" s="85"/>
      <c r="G902" s="85"/>
      <c r="H902" s="85"/>
      <c r="I902" s="85"/>
      <c r="J902" s="85"/>
      <c r="K902" s="85"/>
      <c r="L902" s="85"/>
    </row>
    <row r="903" spans="2:12" x14ac:dyDescent="0.25">
      <c r="B903" s="84">
        <v>52695</v>
      </c>
      <c r="C903" s="84"/>
      <c r="D903" s="84"/>
      <c r="E903" s="84"/>
      <c r="F903" s="84"/>
      <c r="G903" s="84"/>
      <c r="H903" s="84"/>
      <c r="I903" s="84"/>
      <c r="J903" s="84"/>
      <c r="K903" s="84"/>
      <c r="L903" s="84"/>
    </row>
    <row r="904" spans="2:12" x14ac:dyDescent="0.25">
      <c r="B904" s="85">
        <v>52795</v>
      </c>
      <c r="C904" s="85"/>
      <c r="D904" s="85"/>
      <c r="E904" s="85"/>
      <c r="F904" s="85"/>
      <c r="G904" s="85"/>
      <c r="H904" s="85"/>
      <c r="I904" s="85"/>
      <c r="J904" s="85"/>
      <c r="K904" s="85"/>
      <c r="L904" s="85"/>
    </row>
    <row r="905" spans="2:12" x14ac:dyDescent="0.25">
      <c r="B905" s="84">
        <v>52895</v>
      </c>
      <c r="C905" s="84"/>
      <c r="D905" s="84"/>
      <c r="E905" s="84"/>
      <c r="F905" s="84"/>
      <c r="G905" s="84"/>
      <c r="H905" s="84"/>
      <c r="I905" s="84"/>
      <c r="J905" s="84"/>
      <c r="K905" s="84"/>
      <c r="L905" s="84"/>
    </row>
    <row r="906" spans="2:12" x14ac:dyDescent="0.25">
      <c r="B906" s="85">
        <v>52995</v>
      </c>
      <c r="C906" s="85"/>
      <c r="D906" s="85"/>
      <c r="E906" s="85"/>
      <c r="F906" s="85"/>
      <c r="G906" s="85"/>
      <c r="H906" s="85"/>
      <c r="I906" s="85"/>
      <c r="J906" s="85"/>
      <c r="K906" s="85"/>
      <c r="L906" s="85"/>
    </row>
    <row r="907" spans="2:12" x14ac:dyDescent="0.25">
      <c r="B907" s="84">
        <v>53095</v>
      </c>
      <c r="C907" s="84"/>
      <c r="D907" s="84"/>
      <c r="E907" s="84"/>
      <c r="F907" s="84"/>
      <c r="G907" s="84"/>
      <c r="H907" s="84"/>
      <c r="I907" s="84"/>
      <c r="J907" s="84"/>
      <c r="K907" s="84"/>
      <c r="L907" s="84"/>
    </row>
    <row r="908" spans="2:12" x14ac:dyDescent="0.25">
      <c r="B908" s="85">
        <v>53195</v>
      </c>
      <c r="C908" s="85"/>
      <c r="D908" s="85"/>
      <c r="E908" s="85"/>
      <c r="F908" s="85"/>
      <c r="G908" s="85"/>
      <c r="H908" s="85"/>
      <c r="I908" s="85"/>
      <c r="J908" s="85"/>
      <c r="K908" s="85"/>
      <c r="L908" s="85"/>
    </row>
    <row r="909" spans="2:12" x14ac:dyDescent="0.25">
      <c r="B909" s="84">
        <v>53295</v>
      </c>
      <c r="C909" s="84"/>
      <c r="D909" s="84"/>
      <c r="E909" s="84"/>
      <c r="F909" s="84"/>
      <c r="G909" s="84"/>
      <c r="H909" s="84"/>
      <c r="I909" s="84"/>
      <c r="J909" s="84"/>
      <c r="K909" s="84"/>
      <c r="L909" s="84"/>
    </row>
    <row r="910" spans="2:12" x14ac:dyDescent="0.25">
      <c r="B910" s="85">
        <v>53395</v>
      </c>
      <c r="C910" s="85"/>
      <c r="D910" s="85"/>
      <c r="E910" s="85"/>
      <c r="F910" s="85"/>
      <c r="G910" s="85"/>
      <c r="H910" s="85"/>
      <c r="I910" s="85"/>
      <c r="J910" s="85"/>
      <c r="K910" s="85"/>
      <c r="L910" s="85"/>
    </row>
    <row r="911" spans="2:12" x14ac:dyDescent="0.25">
      <c r="B911" s="84">
        <v>53495</v>
      </c>
      <c r="C911" s="84"/>
      <c r="D911" s="84"/>
      <c r="E911" s="84"/>
      <c r="F911" s="84"/>
      <c r="G911" s="84"/>
      <c r="H911" s="84"/>
      <c r="I911" s="84"/>
      <c r="J911" s="84"/>
      <c r="K911" s="84"/>
      <c r="L911" s="84"/>
    </row>
    <row r="912" spans="2:12" x14ac:dyDescent="0.25">
      <c r="B912" s="85">
        <v>53595</v>
      </c>
      <c r="C912" s="85"/>
      <c r="D912" s="85"/>
      <c r="E912" s="85"/>
      <c r="F912" s="85"/>
      <c r="G912" s="85"/>
      <c r="H912" s="85"/>
      <c r="I912" s="85"/>
      <c r="J912" s="85"/>
      <c r="K912" s="85"/>
      <c r="L912" s="85"/>
    </row>
    <row r="913" spans="2:12" x14ac:dyDescent="0.25">
      <c r="B913" s="84">
        <v>53695</v>
      </c>
      <c r="C913" s="84"/>
      <c r="D913" s="84"/>
      <c r="E913" s="84"/>
      <c r="F913" s="84"/>
      <c r="G913" s="84"/>
      <c r="H913" s="84"/>
      <c r="I913" s="84"/>
      <c r="J913" s="84"/>
      <c r="K913" s="84"/>
      <c r="L913" s="84"/>
    </row>
    <row r="914" spans="2:12" x14ac:dyDescent="0.25">
      <c r="B914" s="85">
        <v>53795</v>
      </c>
      <c r="C914" s="85"/>
      <c r="D914" s="85"/>
      <c r="E914" s="85"/>
      <c r="F914" s="85"/>
      <c r="G914" s="85"/>
      <c r="H914" s="85"/>
      <c r="I914" s="85"/>
      <c r="J914" s="85"/>
      <c r="K914" s="85"/>
      <c r="L914" s="85"/>
    </row>
    <row r="915" spans="2:12" x14ac:dyDescent="0.25">
      <c r="B915" s="84">
        <v>53895</v>
      </c>
      <c r="C915" s="84"/>
      <c r="D915" s="84"/>
      <c r="E915" s="84"/>
      <c r="F915" s="84"/>
      <c r="G915" s="84"/>
      <c r="H915" s="84"/>
      <c r="I915" s="84"/>
      <c r="J915" s="84"/>
      <c r="K915" s="84"/>
      <c r="L915" s="84"/>
    </row>
    <row r="916" spans="2:12" x14ac:dyDescent="0.25">
      <c r="B916" s="85">
        <v>53995</v>
      </c>
      <c r="C916" s="85"/>
      <c r="D916" s="85"/>
      <c r="E916" s="85"/>
      <c r="F916" s="85"/>
      <c r="G916" s="85"/>
      <c r="H916" s="85"/>
      <c r="I916" s="85"/>
      <c r="J916" s="85"/>
      <c r="K916" s="85"/>
      <c r="L916" s="85"/>
    </row>
    <row r="917" spans="2:12" x14ac:dyDescent="0.25">
      <c r="B917" s="84">
        <v>54095</v>
      </c>
      <c r="C917" s="84"/>
      <c r="D917" s="84"/>
      <c r="E917" s="84"/>
      <c r="F917" s="84"/>
      <c r="G917" s="84"/>
      <c r="H917" s="84"/>
      <c r="I917" s="84"/>
      <c r="J917" s="84"/>
      <c r="K917" s="84"/>
      <c r="L917" s="84"/>
    </row>
    <row r="918" spans="2:12" x14ac:dyDescent="0.25">
      <c r="B918" s="85">
        <v>54195</v>
      </c>
      <c r="C918" s="85"/>
      <c r="D918" s="85"/>
      <c r="E918" s="85"/>
      <c r="F918" s="85"/>
      <c r="G918" s="85"/>
      <c r="H918" s="85"/>
      <c r="I918" s="85"/>
      <c r="J918" s="85"/>
      <c r="K918" s="85"/>
      <c r="L918" s="85"/>
    </row>
    <row r="919" spans="2:12" x14ac:dyDescent="0.25">
      <c r="B919" s="84">
        <v>54295</v>
      </c>
      <c r="C919" s="84"/>
      <c r="D919" s="84"/>
      <c r="E919" s="84"/>
      <c r="F919" s="84"/>
      <c r="G919" s="84"/>
      <c r="H919" s="84"/>
      <c r="I919" s="84"/>
      <c r="J919" s="84"/>
      <c r="K919" s="84"/>
      <c r="L919" s="84"/>
    </row>
    <row r="920" spans="2:12" x14ac:dyDescent="0.25">
      <c r="B920" s="85">
        <v>54395</v>
      </c>
      <c r="C920" s="85"/>
      <c r="D920" s="85"/>
      <c r="E920" s="85"/>
      <c r="F920" s="85"/>
      <c r="G920" s="85"/>
      <c r="H920" s="85"/>
      <c r="I920" s="85"/>
      <c r="J920" s="85"/>
      <c r="K920" s="85"/>
      <c r="L920" s="85"/>
    </row>
    <row r="921" spans="2:12" x14ac:dyDescent="0.25">
      <c r="B921" s="84">
        <v>54495</v>
      </c>
      <c r="C921" s="84"/>
      <c r="D921" s="84"/>
      <c r="E921" s="84"/>
      <c r="F921" s="84"/>
      <c r="G921" s="84"/>
      <c r="H921" s="84"/>
      <c r="I921" s="84"/>
      <c r="J921" s="84"/>
      <c r="K921" s="84"/>
      <c r="L921" s="84"/>
    </row>
    <row r="922" spans="2:12" x14ac:dyDescent="0.25">
      <c r="B922" s="85">
        <v>54595</v>
      </c>
      <c r="C922" s="85"/>
      <c r="D922" s="85"/>
      <c r="E922" s="85"/>
      <c r="F922" s="85"/>
      <c r="G922" s="85"/>
      <c r="H922" s="85"/>
      <c r="I922" s="85"/>
      <c r="J922" s="85"/>
      <c r="K922" s="85"/>
      <c r="L922" s="85"/>
    </row>
    <row r="923" spans="2:12" x14ac:dyDescent="0.25">
      <c r="B923" s="84">
        <v>54695</v>
      </c>
      <c r="C923" s="84"/>
      <c r="D923" s="84"/>
      <c r="E923" s="84"/>
      <c r="F923" s="84"/>
      <c r="G923" s="84"/>
      <c r="H923" s="84"/>
      <c r="I923" s="84"/>
      <c r="J923" s="84"/>
      <c r="K923" s="84"/>
      <c r="L923" s="84"/>
    </row>
    <row r="924" spans="2:12" x14ac:dyDescent="0.25">
      <c r="B924" s="85">
        <v>54795</v>
      </c>
      <c r="C924" s="85"/>
      <c r="D924" s="85"/>
      <c r="E924" s="85"/>
      <c r="F924" s="85"/>
      <c r="G924" s="85"/>
      <c r="H924" s="85"/>
      <c r="I924" s="85"/>
      <c r="J924" s="85"/>
      <c r="K924" s="85"/>
      <c r="L924" s="85"/>
    </row>
    <row r="925" spans="2:12" x14ac:dyDescent="0.25">
      <c r="B925" s="84">
        <v>54895</v>
      </c>
      <c r="C925" s="84"/>
      <c r="D925" s="84"/>
      <c r="E925" s="84"/>
      <c r="F925" s="84"/>
      <c r="G925" s="84"/>
      <c r="H925" s="84"/>
      <c r="I925" s="84"/>
      <c r="J925" s="84"/>
      <c r="K925" s="84"/>
      <c r="L925" s="84"/>
    </row>
    <row r="926" spans="2:12" x14ac:dyDescent="0.25">
      <c r="B926" s="85">
        <v>54995</v>
      </c>
      <c r="C926" s="85"/>
      <c r="D926" s="85"/>
      <c r="E926" s="85"/>
      <c r="F926" s="85"/>
      <c r="G926" s="85"/>
      <c r="H926" s="85"/>
      <c r="I926" s="85"/>
      <c r="J926" s="85"/>
      <c r="K926" s="85"/>
      <c r="L926" s="85"/>
    </row>
    <row r="927" spans="2:12" x14ac:dyDescent="0.25">
      <c r="B927" s="84">
        <v>55095</v>
      </c>
      <c r="C927" s="84"/>
      <c r="D927" s="84"/>
      <c r="E927" s="84"/>
      <c r="F927" s="84"/>
      <c r="G927" s="84"/>
      <c r="H927" s="84"/>
      <c r="I927" s="84"/>
      <c r="J927" s="84"/>
      <c r="K927" s="84"/>
      <c r="L927" s="84"/>
    </row>
    <row r="928" spans="2:12" x14ac:dyDescent="0.25">
      <c r="B928" s="85">
        <v>55195</v>
      </c>
      <c r="C928" s="85"/>
      <c r="D928" s="85"/>
      <c r="E928" s="85"/>
      <c r="F928" s="85"/>
      <c r="G928" s="85"/>
      <c r="H928" s="85"/>
      <c r="I928" s="85"/>
      <c r="J928" s="85"/>
      <c r="K928" s="85"/>
      <c r="L928" s="85"/>
    </row>
    <row r="929" spans="2:12" x14ac:dyDescent="0.25">
      <c r="B929" s="84">
        <v>55295</v>
      </c>
      <c r="C929" s="84"/>
      <c r="D929" s="84"/>
      <c r="E929" s="84"/>
      <c r="F929" s="84"/>
      <c r="G929" s="84"/>
      <c r="H929" s="84"/>
      <c r="I929" s="84"/>
      <c r="J929" s="84"/>
      <c r="K929" s="84"/>
      <c r="L929" s="84"/>
    </row>
    <row r="930" spans="2:12" x14ac:dyDescent="0.25">
      <c r="B930" s="85">
        <v>55395</v>
      </c>
      <c r="C930" s="85"/>
      <c r="D930" s="85"/>
      <c r="E930" s="85"/>
      <c r="F930" s="85"/>
      <c r="G930" s="85"/>
      <c r="H930" s="85"/>
      <c r="I930" s="85"/>
      <c r="J930" s="85"/>
      <c r="K930" s="85"/>
      <c r="L930" s="85"/>
    </row>
    <row r="931" spans="2:12" x14ac:dyDescent="0.25">
      <c r="B931" s="84">
        <v>55495</v>
      </c>
      <c r="C931" s="84"/>
      <c r="D931" s="84"/>
      <c r="E931" s="84"/>
      <c r="F931" s="84"/>
      <c r="G931" s="84"/>
      <c r="H931" s="84"/>
      <c r="I931" s="84"/>
      <c r="J931" s="84"/>
      <c r="K931" s="84"/>
      <c r="L931" s="84"/>
    </row>
    <row r="932" spans="2:12" x14ac:dyDescent="0.25">
      <c r="B932" s="85">
        <v>55595</v>
      </c>
      <c r="C932" s="85"/>
      <c r="D932" s="85"/>
      <c r="E932" s="85"/>
      <c r="F932" s="85"/>
      <c r="G932" s="85"/>
      <c r="H932" s="85"/>
      <c r="I932" s="85"/>
      <c r="J932" s="85"/>
      <c r="K932" s="85"/>
      <c r="L932" s="85"/>
    </row>
    <row r="933" spans="2:12" x14ac:dyDescent="0.25">
      <c r="B933" s="84">
        <v>55695</v>
      </c>
      <c r="C933" s="84"/>
      <c r="D933" s="84"/>
      <c r="E933" s="84"/>
      <c r="F933" s="84"/>
      <c r="G933" s="84"/>
      <c r="H933" s="84"/>
      <c r="I933" s="84"/>
      <c r="J933" s="84"/>
      <c r="K933" s="84"/>
      <c r="L933" s="84"/>
    </row>
    <row r="934" spans="2:12" x14ac:dyDescent="0.25">
      <c r="B934" s="85">
        <v>55795</v>
      </c>
      <c r="C934" s="85"/>
      <c r="D934" s="85"/>
      <c r="E934" s="85"/>
      <c r="F934" s="85"/>
      <c r="G934" s="85"/>
      <c r="H934" s="85"/>
      <c r="I934" s="85"/>
      <c r="J934" s="85"/>
      <c r="K934" s="85"/>
      <c r="L934" s="85"/>
    </row>
    <row r="935" spans="2:12" x14ac:dyDescent="0.25">
      <c r="B935" s="84">
        <v>55895</v>
      </c>
      <c r="C935" s="84"/>
      <c r="D935" s="84"/>
      <c r="E935" s="84"/>
      <c r="F935" s="84"/>
      <c r="G935" s="84"/>
      <c r="H935" s="84"/>
      <c r="I935" s="84"/>
      <c r="J935" s="84"/>
      <c r="K935" s="84"/>
      <c r="L935" s="84"/>
    </row>
    <row r="936" spans="2:12" x14ac:dyDescent="0.25">
      <c r="B936" s="85">
        <v>55995</v>
      </c>
      <c r="C936" s="85"/>
      <c r="D936" s="85"/>
      <c r="E936" s="85"/>
      <c r="F936" s="85"/>
      <c r="G936" s="85"/>
      <c r="H936" s="85"/>
      <c r="I936" s="85"/>
      <c r="J936" s="85"/>
      <c r="K936" s="85"/>
      <c r="L936" s="85"/>
    </row>
    <row r="937" spans="2:12" x14ac:dyDescent="0.25">
      <c r="B937" s="84">
        <v>56095</v>
      </c>
      <c r="C937" s="84"/>
      <c r="D937" s="84"/>
      <c r="E937" s="84"/>
      <c r="F937" s="84"/>
      <c r="G937" s="84"/>
      <c r="H937" s="84"/>
      <c r="I937" s="84"/>
      <c r="J937" s="84"/>
      <c r="K937" s="84"/>
      <c r="L937" s="84"/>
    </row>
    <row r="938" spans="2:12" x14ac:dyDescent="0.25">
      <c r="B938" s="85">
        <v>56195</v>
      </c>
      <c r="C938" s="85"/>
      <c r="D938" s="85"/>
      <c r="E938" s="85"/>
      <c r="F938" s="85"/>
      <c r="G938" s="85"/>
      <c r="H938" s="85"/>
      <c r="I938" s="85"/>
      <c r="J938" s="85"/>
      <c r="K938" s="85"/>
      <c r="L938" s="85"/>
    </row>
    <row r="939" spans="2:12" x14ac:dyDescent="0.25">
      <c r="B939" s="84">
        <v>56295</v>
      </c>
      <c r="C939" s="84"/>
      <c r="D939" s="84"/>
      <c r="E939" s="84"/>
      <c r="F939" s="84"/>
      <c r="G939" s="84"/>
      <c r="H939" s="84"/>
      <c r="I939" s="84"/>
      <c r="J939" s="84"/>
      <c r="K939" s="84"/>
      <c r="L939" s="84"/>
    </row>
    <row r="940" spans="2:12" x14ac:dyDescent="0.25">
      <c r="B940" s="85">
        <v>56395</v>
      </c>
      <c r="C940" s="85"/>
      <c r="D940" s="85"/>
      <c r="E940" s="85"/>
      <c r="F940" s="85"/>
      <c r="G940" s="85"/>
      <c r="H940" s="85"/>
      <c r="I940" s="85"/>
      <c r="J940" s="85"/>
      <c r="K940" s="85"/>
      <c r="L940" s="85"/>
    </row>
    <row r="941" spans="2:12" x14ac:dyDescent="0.25">
      <c r="B941" s="84">
        <v>56495</v>
      </c>
      <c r="C941" s="84"/>
      <c r="D941" s="84"/>
      <c r="E941" s="84"/>
      <c r="F941" s="84"/>
      <c r="G941" s="84"/>
      <c r="H941" s="84"/>
      <c r="I941" s="84"/>
      <c r="J941" s="84"/>
      <c r="K941" s="84"/>
      <c r="L941" s="84"/>
    </row>
    <row r="942" spans="2:12" x14ac:dyDescent="0.25">
      <c r="B942" s="85">
        <v>56595</v>
      </c>
      <c r="C942" s="85"/>
      <c r="D942" s="85"/>
      <c r="E942" s="85"/>
      <c r="F942" s="85"/>
      <c r="G942" s="85"/>
      <c r="H942" s="85"/>
      <c r="I942" s="85"/>
      <c r="J942" s="85"/>
      <c r="K942" s="85"/>
      <c r="L942" s="85"/>
    </row>
    <row r="943" spans="2:12" x14ac:dyDescent="0.25">
      <c r="B943" s="84">
        <v>56695</v>
      </c>
      <c r="C943" s="84"/>
      <c r="D943" s="84"/>
      <c r="E943" s="84"/>
      <c r="F943" s="84"/>
      <c r="G943" s="84"/>
      <c r="H943" s="84"/>
      <c r="I943" s="84"/>
      <c r="J943" s="84"/>
      <c r="K943" s="84"/>
      <c r="L943" s="84"/>
    </row>
    <row r="944" spans="2:12" x14ac:dyDescent="0.25">
      <c r="B944" s="85">
        <v>56795</v>
      </c>
      <c r="C944" s="85"/>
      <c r="D944" s="85"/>
      <c r="E944" s="85"/>
      <c r="F944" s="85"/>
      <c r="G944" s="85"/>
      <c r="H944" s="85"/>
      <c r="I944" s="85"/>
      <c r="J944" s="85"/>
      <c r="K944" s="85"/>
      <c r="L944" s="85"/>
    </row>
    <row r="945" spans="2:12" x14ac:dyDescent="0.25">
      <c r="B945" s="84">
        <v>56895</v>
      </c>
      <c r="C945" s="84"/>
      <c r="D945" s="84"/>
      <c r="E945" s="84"/>
      <c r="F945" s="84"/>
      <c r="G945" s="84"/>
      <c r="H945" s="84"/>
      <c r="I945" s="84"/>
      <c r="J945" s="84"/>
      <c r="K945" s="84"/>
      <c r="L945" s="84"/>
    </row>
    <row r="946" spans="2:12" x14ac:dyDescent="0.25">
      <c r="B946" s="85">
        <v>56995</v>
      </c>
      <c r="C946" s="85"/>
      <c r="D946" s="85"/>
      <c r="E946" s="85"/>
      <c r="F946" s="85"/>
      <c r="G946" s="85"/>
      <c r="H946" s="85"/>
      <c r="I946" s="85"/>
      <c r="J946" s="85"/>
      <c r="K946" s="85"/>
      <c r="L946" s="85"/>
    </row>
    <row r="947" spans="2:12" x14ac:dyDescent="0.25">
      <c r="B947" s="84">
        <v>57095</v>
      </c>
      <c r="C947" s="84"/>
      <c r="D947" s="84"/>
      <c r="E947" s="84"/>
      <c r="F947" s="84"/>
      <c r="G947" s="84"/>
      <c r="H947" s="84"/>
      <c r="I947" s="84"/>
      <c r="J947" s="84"/>
      <c r="K947" s="84"/>
      <c r="L947" s="84"/>
    </row>
    <row r="948" spans="2:12" x14ac:dyDescent="0.25">
      <c r="B948" s="85">
        <v>57195</v>
      </c>
      <c r="C948" s="85"/>
      <c r="D948" s="85"/>
      <c r="E948" s="85"/>
      <c r="F948" s="85"/>
      <c r="G948" s="85"/>
      <c r="H948" s="85"/>
      <c r="I948" s="85"/>
      <c r="J948" s="85"/>
      <c r="K948" s="85"/>
      <c r="L948" s="85"/>
    </row>
    <row r="949" spans="2:12" x14ac:dyDescent="0.25">
      <c r="B949" s="84">
        <v>57295</v>
      </c>
      <c r="C949" s="84"/>
      <c r="D949" s="84"/>
      <c r="E949" s="84"/>
      <c r="F949" s="84"/>
      <c r="G949" s="84"/>
      <c r="H949" s="84"/>
      <c r="I949" s="84"/>
      <c r="J949" s="84"/>
      <c r="K949" s="84"/>
      <c r="L949" s="84"/>
    </row>
    <row r="950" spans="2:12" x14ac:dyDescent="0.25">
      <c r="B950" s="85">
        <v>57395</v>
      </c>
      <c r="C950" s="85"/>
      <c r="D950" s="85"/>
      <c r="E950" s="85"/>
      <c r="F950" s="85"/>
      <c r="G950" s="85"/>
      <c r="H950" s="85"/>
      <c r="I950" s="85"/>
      <c r="J950" s="85"/>
      <c r="K950" s="85"/>
      <c r="L950" s="85"/>
    </row>
    <row r="951" spans="2:12" x14ac:dyDescent="0.25">
      <c r="B951" s="84">
        <v>57495</v>
      </c>
      <c r="C951" s="84"/>
      <c r="D951" s="84"/>
      <c r="E951" s="84"/>
      <c r="F951" s="84"/>
      <c r="G951" s="84"/>
      <c r="H951" s="84"/>
      <c r="I951" s="84"/>
      <c r="J951" s="84"/>
      <c r="K951" s="84"/>
      <c r="L951" s="84"/>
    </row>
    <row r="952" spans="2:12" x14ac:dyDescent="0.25">
      <c r="B952" s="85">
        <v>57595</v>
      </c>
      <c r="C952" s="85"/>
      <c r="D952" s="85"/>
      <c r="E952" s="85"/>
      <c r="F952" s="85"/>
      <c r="G952" s="85"/>
      <c r="H952" s="85"/>
      <c r="I952" s="85"/>
      <c r="J952" s="85"/>
      <c r="K952" s="85"/>
      <c r="L952" s="85"/>
    </row>
    <row r="953" spans="2:12" x14ac:dyDescent="0.25">
      <c r="B953" s="84">
        <v>57695</v>
      </c>
      <c r="C953" s="84"/>
      <c r="D953" s="84"/>
      <c r="E953" s="84"/>
      <c r="F953" s="84"/>
      <c r="G953" s="84"/>
      <c r="H953" s="84"/>
      <c r="I953" s="84"/>
      <c r="J953" s="84"/>
      <c r="K953" s="84"/>
      <c r="L953" s="84"/>
    </row>
    <row r="954" spans="2:12" x14ac:dyDescent="0.25">
      <c r="B954" s="85">
        <v>57795</v>
      </c>
      <c r="C954" s="85"/>
      <c r="D954" s="85"/>
      <c r="E954" s="85"/>
      <c r="F954" s="85"/>
      <c r="G954" s="85"/>
      <c r="H954" s="85"/>
      <c r="I954" s="85"/>
      <c r="J954" s="85"/>
      <c r="K954" s="85"/>
      <c r="L954" s="85"/>
    </row>
    <row r="955" spans="2:12" x14ac:dyDescent="0.25">
      <c r="B955" s="84">
        <v>57895</v>
      </c>
      <c r="C955" s="84"/>
      <c r="D955" s="84"/>
      <c r="E955" s="84"/>
      <c r="F955" s="84"/>
      <c r="G955" s="84"/>
      <c r="H955" s="84"/>
      <c r="I955" s="84"/>
      <c r="J955" s="84"/>
      <c r="K955" s="84"/>
      <c r="L955" s="84"/>
    </row>
    <row r="956" spans="2:12" x14ac:dyDescent="0.25">
      <c r="B956" s="85">
        <v>57995</v>
      </c>
      <c r="C956" s="85"/>
      <c r="D956" s="85"/>
      <c r="E956" s="85"/>
      <c r="F956" s="85"/>
      <c r="G956" s="85"/>
      <c r="H956" s="85"/>
      <c r="I956" s="85"/>
      <c r="J956" s="85"/>
      <c r="K956" s="85"/>
      <c r="L956" s="85"/>
    </row>
    <row r="957" spans="2:12" x14ac:dyDescent="0.25">
      <c r="B957" s="84">
        <v>58095</v>
      </c>
      <c r="C957" s="84"/>
      <c r="D957" s="84"/>
      <c r="E957" s="84"/>
      <c r="F957" s="84"/>
      <c r="G957" s="84"/>
      <c r="H957" s="84"/>
      <c r="I957" s="84"/>
      <c r="J957" s="84"/>
      <c r="K957" s="84"/>
      <c r="L957" s="84"/>
    </row>
    <row r="958" spans="2:12" x14ac:dyDescent="0.25">
      <c r="B958" s="85">
        <v>58195</v>
      </c>
      <c r="C958" s="85"/>
      <c r="D958" s="85"/>
      <c r="E958" s="85"/>
      <c r="F958" s="85"/>
      <c r="G958" s="85"/>
      <c r="H958" s="85"/>
      <c r="I958" s="85"/>
      <c r="J958" s="85"/>
      <c r="K958" s="85"/>
      <c r="L958" s="85"/>
    </row>
    <row r="959" spans="2:12" x14ac:dyDescent="0.25">
      <c r="B959" s="84">
        <v>58295</v>
      </c>
      <c r="C959" s="84"/>
      <c r="D959" s="84"/>
      <c r="E959" s="84"/>
      <c r="F959" s="84"/>
      <c r="G959" s="84"/>
      <c r="H959" s="84"/>
      <c r="I959" s="84"/>
      <c r="J959" s="84"/>
      <c r="K959" s="84"/>
      <c r="L959" s="84"/>
    </row>
    <row r="960" spans="2:12" x14ac:dyDescent="0.25">
      <c r="B960" s="85">
        <v>58395</v>
      </c>
      <c r="C960" s="85"/>
      <c r="D960" s="85"/>
      <c r="E960" s="85"/>
      <c r="F960" s="85"/>
      <c r="G960" s="85"/>
      <c r="H960" s="85"/>
      <c r="I960" s="85"/>
      <c r="J960" s="85"/>
      <c r="K960" s="85"/>
      <c r="L960" s="85"/>
    </row>
    <row r="961" spans="2:12" x14ac:dyDescent="0.25">
      <c r="B961" s="84">
        <v>58495</v>
      </c>
      <c r="C961" s="84"/>
      <c r="D961" s="84"/>
      <c r="E961" s="84"/>
      <c r="F961" s="84"/>
      <c r="G961" s="84"/>
      <c r="H961" s="84"/>
      <c r="I961" s="84"/>
      <c r="J961" s="84"/>
      <c r="K961" s="84"/>
      <c r="L961" s="84"/>
    </row>
    <row r="962" spans="2:12" x14ac:dyDescent="0.25">
      <c r="B962" s="85">
        <v>58595</v>
      </c>
      <c r="C962" s="85"/>
      <c r="D962" s="85"/>
      <c r="E962" s="85"/>
      <c r="F962" s="85"/>
      <c r="G962" s="85"/>
      <c r="H962" s="85"/>
      <c r="I962" s="85"/>
      <c r="J962" s="85"/>
      <c r="K962" s="85"/>
      <c r="L962" s="85"/>
    </row>
    <row r="963" spans="2:12" x14ac:dyDescent="0.25">
      <c r="B963" s="84">
        <v>58695</v>
      </c>
      <c r="C963" s="84"/>
      <c r="D963" s="84"/>
      <c r="E963" s="84"/>
      <c r="F963" s="84"/>
      <c r="G963" s="84"/>
      <c r="H963" s="84"/>
      <c r="I963" s="84"/>
      <c r="J963" s="84"/>
      <c r="K963" s="84"/>
      <c r="L963" s="84"/>
    </row>
    <row r="964" spans="2:12" x14ac:dyDescent="0.25">
      <c r="B964" s="85">
        <v>58795</v>
      </c>
      <c r="C964" s="85"/>
      <c r="D964" s="85"/>
      <c r="E964" s="85"/>
      <c r="F964" s="85"/>
      <c r="G964" s="85"/>
      <c r="H964" s="85"/>
      <c r="I964" s="85"/>
      <c r="J964" s="85"/>
      <c r="K964" s="85"/>
      <c r="L964" s="85"/>
    </row>
    <row r="965" spans="2:12" x14ac:dyDescent="0.25">
      <c r="B965" s="84">
        <v>58895</v>
      </c>
      <c r="C965" s="84"/>
      <c r="D965" s="84"/>
      <c r="E965" s="84"/>
      <c r="F965" s="84"/>
      <c r="G965" s="84"/>
      <c r="H965" s="84"/>
      <c r="I965" s="84"/>
      <c r="J965" s="84"/>
      <c r="K965" s="84"/>
      <c r="L965" s="84"/>
    </row>
    <row r="966" spans="2:12" x14ac:dyDescent="0.25">
      <c r="B966" s="85">
        <v>58995</v>
      </c>
      <c r="C966" s="85"/>
      <c r="D966" s="85"/>
      <c r="E966" s="85"/>
      <c r="F966" s="85"/>
      <c r="G966" s="85"/>
      <c r="H966" s="85"/>
      <c r="I966" s="85"/>
      <c r="J966" s="85"/>
      <c r="K966" s="85"/>
      <c r="L966" s="85"/>
    </row>
    <row r="967" spans="2:12" x14ac:dyDescent="0.25">
      <c r="B967" s="84">
        <v>59095</v>
      </c>
      <c r="C967" s="84"/>
      <c r="D967" s="84"/>
      <c r="E967" s="84"/>
      <c r="F967" s="84"/>
      <c r="G967" s="84"/>
      <c r="H967" s="84"/>
      <c r="I967" s="84"/>
      <c r="J967" s="84"/>
      <c r="K967" s="84"/>
      <c r="L967" s="84"/>
    </row>
    <row r="968" spans="2:12" x14ac:dyDescent="0.25">
      <c r="B968" s="85">
        <v>59195</v>
      </c>
      <c r="C968" s="85"/>
      <c r="D968" s="85"/>
      <c r="E968" s="85"/>
      <c r="F968" s="85"/>
      <c r="G968" s="85"/>
      <c r="H968" s="85"/>
      <c r="I968" s="85"/>
      <c r="J968" s="85"/>
      <c r="K968" s="85"/>
      <c r="L968" s="85"/>
    </row>
    <row r="969" spans="2:12" x14ac:dyDescent="0.25">
      <c r="B969" s="84">
        <v>59295</v>
      </c>
      <c r="C969" s="84"/>
      <c r="D969" s="84"/>
      <c r="E969" s="84"/>
      <c r="F969" s="84"/>
      <c r="G969" s="84"/>
      <c r="H969" s="84"/>
      <c r="I969" s="84"/>
      <c r="J969" s="84"/>
      <c r="K969" s="84"/>
      <c r="L969" s="84"/>
    </row>
    <row r="970" spans="2:12" x14ac:dyDescent="0.25">
      <c r="B970" s="85">
        <v>59395</v>
      </c>
      <c r="C970" s="85"/>
      <c r="D970" s="85"/>
      <c r="E970" s="85"/>
      <c r="F970" s="85"/>
      <c r="G970" s="85"/>
      <c r="H970" s="85"/>
      <c r="I970" s="85"/>
      <c r="J970" s="85"/>
      <c r="K970" s="85"/>
      <c r="L970" s="85"/>
    </row>
    <row r="971" spans="2:12" x14ac:dyDescent="0.25">
      <c r="B971" s="84">
        <v>59495</v>
      </c>
      <c r="C971" s="84"/>
      <c r="D971" s="84"/>
      <c r="E971" s="84"/>
      <c r="F971" s="84"/>
      <c r="G971" s="84"/>
      <c r="H971" s="84"/>
      <c r="I971" s="84"/>
      <c r="J971" s="84"/>
      <c r="K971" s="84"/>
      <c r="L971" s="84"/>
    </row>
    <row r="972" spans="2:12" x14ac:dyDescent="0.25">
      <c r="B972" s="85">
        <v>59595</v>
      </c>
      <c r="C972" s="85"/>
      <c r="D972" s="85"/>
      <c r="E972" s="85"/>
      <c r="F972" s="85"/>
      <c r="G972" s="85"/>
      <c r="H972" s="85"/>
      <c r="I972" s="85"/>
      <c r="J972" s="85"/>
      <c r="K972" s="85"/>
      <c r="L972" s="85"/>
    </row>
    <row r="973" spans="2:12" x14ac:dyDescent="0.25">
      <c r="B973" s="84">
        <v>59695</v>
      </c>
      <c r="C973" s="84"/>
      <c r="D973" s="84"/>
      <c r="E973" s="84"/>
      <c r="F973" s="84"/>
      <c r="G973" s="84"/>
      <c r="H973" s="84"/>
      <c r="I973" s="84"/>
      <c r="J973" s="84"/>
      <c r="K973" s="84"/>
      <c r="L973" s="84"/>
    </row>
    <row r="974" spans="2:12" x14ac:dyDescent="0.25">
      <c r="B974" s="85">
        <v>59795</v>
      </c>
      <c r="C974" s="85"/>
      <c r="D974" s="85"/>
      <c r="E974" s="85"/>
      <c r="F974" s="85"/>
      <c r="G974" s="85"/>
      <c r="H974" s="85"/>
      <c r="I974" s="85"/>
      <c r="J974" s="85"/>
      <c r="K974" s="85"/>
      <c r="L974" s="85"/>
    </row>
    <row r="975" spans="2:12" x14ac:dyDescent="0.25">
      <c r="B975" s="84">
        <v>59895</v>
      </c>
      <c r="C975" s="84"/>
      <c r="D975" s="84"/>
      <c r="E975" s="84"/>
      <c r="F975" s="84"/>
      <c r="G975" s="84"/>
      <c r="H975" s="84"/>
      <c r="I975" s="84"/>
      <c r="J975" s="84"/>
      <c r="K975" s="84"/>
      <c r="L975" s="84"/>
    </row>
    <row r="976" spans="2:12" x14ac:dyDescent="0.25">
      <c r="B976" s="85">
        <v>59995</v>
      </c>
      <c r="C976" s="85"/>
      <c r="D976" s="85"/>
      <c r="E976" s="85"/>
      <c r="F976" s="85"/>
      <c r="G976" s="85"/>
      <c r="H976" s="85"/>
      <c r="I976" s="85"/>
      <c r="J976" s="85"/>
      <c r="K976" s="85"/>
      <c r="L976" s="85"/>
    </row>
    <row r="977" spans="2:12" x14ac:dyDescent="0.25">
      <c r="B977" s="84">
        <v>60095</v>
      </c>
      <c r="C977" s="84"/>
      <c r="D977" s="84"/>
      <c r="E977" s="84"/>
      <c r="F977" s="84"/>
      <c r="G977" s="84"/>
      <c r="H977" s="84"/>
      <c r="I977" s="84"/>
      <c r="J977" s="84"/>
      <c r="K977" s="84"/>
      <c r="L977" s="84"/>
    </row>
    <row r="978" spans="2:12" x14ac:dyDescent="0.25">
      <c r="B978" s="85">
        <v>60195</v>
      </c>
      <c r="C978" s="85"/>
      <c r="D978" s="85"/>
      <c r="E978" s="85"/>
      <c r="F978" s="85"/>
      <c r="G978" s="85"/>
      <c r="H978" s="85"/>
      <c r="I978" s="85"/>
      <c r="J978" s="85"/>
      <c r="K978" s="85"/>
      <c r="L978" s="85"/>
    </row>
    <row r="979" spans="2:12" x14ac:dyDescent="0.25">
      <c r="B979" s="84">
        <v>60295</v>
      </c>
      <c r="C979" s="84"/>
      <c r="D979" s="84"/>
      <c r="E979" s="84"/>
      <c r="F979" s="84"/>
      <c r="G979" s="84"/>
      <c r="H979" s="84"/>
      <c r="I979" s="84"/>
      <c r="J979" s="84"/>
      <c r="K979" s="84"/>
      <c r="L979" s="84"/>
    </row>
    <row r="980" spans="2:12" x14ac:dyDescent="0.25">
      <c r="B980" s="85">
        <v>60395</v>
      </c>
      <c r="C980" s="85"/>
      <c r="D980" s="85"/>
      <c r="E980" s="85"/>
      <c r="F980" s="85"/>
      <c r="G980" s="85"/>
      <c r="H980" s="85"/>
      <c r="I980" s="85"/>
      <c r="J980" s="85"/>
      <c r="K980" s="85"/>
      <c r="L980" s="85"/>
    </row>
    <row r="981" spans="2:12" x14ac:dyDescent="0.25">
      <c r="B981" s="84">
        <v>60495</v>
      </c>
      <c r="C981" s="84"/>
      <c r="D981" s="84"/>
      <c r="E981" s="84"/>
      <c r="F981" s="84"/>
      <c r="G981" s="84"/>
      <c r="H981" s="84"/>
      <c r="I981" s="84"/>
      <c r="J981" s="84"/>
      <c r="K981" s="84"/>
      <c r="L981" s="84"/>
    </row>
    <row r="982" spans="2:12" x14ac:dyDescent="0.25">
      <c r="B982" s="85">
        <v>60595</v>
      </c>
      <c r="C982" s="85"/>
      <c r="D982" s="85"/>
      <c r="E982" s="85"/>
      <c r="F982" s="85"/>
      <c r="G982" s="85"/>
      <c r="H982" s="85"/>
      <c r="I982" s="85"/>
      <c r="J982" s="85"/>
      <c r="K982" s="85"/>
      <c r="L982" s="85"/>
    </row>
    <row r="983" spans="2:12" x14ac:dyDescent="0.25">
      <c r="B983" s="84">
        <v>60695</v>
      </c>
      <c r="C983" s="84"/>
      <c r="D983" s="84"/>
      <c r="E983" s="84"/>
      <c r="F983" s="84"/>
      <c r="G983" s="84"/>
      <c r="H983" s="84"/>
      <c r="I983" s="84"/>
      <c r="J983" s="84"/>
      <c r="K983" s="84"/>
      <c r="L983" s="84"/>
    </row>
    <row r="984" spans="2:12" x14ac:dyDescent="0.25">
      <c r="B984" s="85">
        <v>60795</v>
      </c>
      <c r="C984" s="85"/>
      <c r="D984" s="85"/>
      <c r="E984" s="85"/>
      <c r="F984" s="85"/>
      <c r="G984" s="85"/>
      <c r="H984" s="85"/>
      <c r="I984" s="85"/>
      <c r="J984" s="85"/>
      <c r="K984" s="85"/>
      <c r="L984" s="85"/>
    </row>
    <row r="985" spans="2:12" x14ac:dyDescent="0.25">
      <c r="B985" s="84">
        <v>60895</v>
      </c>
      <c r="C985" s="84"/>
      <c r="D985" s="84"/>
      <c r="E985" s="84"/>
      <c r="F985" s="84"/>
      <c r="G985" s="84"/>
      <c r="H985" s="84"/>
      <c r="I985" s="84"/>
      <c r="J985" s="84"/>
      <c r="K985" s="84"/>
      <c r="L985" s="84"/>
    </row>
    <row r="986" spans="2:12" x14ac:dyDescent="0.25">
      <c r="B986" s="85">
        <v>60995</v>
      </c>
      <c r="C986" s="85"/>
      <c r="D986" s="85"/>
      <c r="E986" s="85"/>
      <c r="F986" s="85"/>
      <c r="G986" s="85"/>
      <c r="H986" s="85"/>
      <c r="I986" s="85"/>
      <c r="J986" s="85"/>
      <c r="K986" s="85"/>
      <c r="L986" s="85"/>
    </row>
    <row r="987" spans="2:12" x14ac:dyDescent="0.25">
      <c r="B987" s="84">
        <v>61095</v>
      </c>
      <c r="C987" s="84"/>
      <c r="D987" s="84"/>
      <c r="E987" s="84"/>
      <c r="F987" s="84"/>
      <c r="G987" s="84"/>
      <c r="H987" s="84"/>
      <c r="I987" s="84"/>
      <c r="J987" s="84"/>
      <c r="K987" s="84"/>
      <c r="L987" s="84"/>
    </row>
    <row r="988" spans="2:12" x14ac:dyDescent="0.25">
      <c r="B988" s="85">
        <v>61195</v>
      </c>
      <c r="C988" s="85"/>
      <c r="D988" s="85"/>
      <c r="E988" s="85"/>
      <c r="F988" s="85"/>
      <c r="G988" s="85"/>
      <c r="H988" s="85"/>
      <c r="I988" s="85"/>
      <c r="J988" s="85"/>
      <c r="K988" s="85"/>
      <c r="L988" s="85"/>
    </row>
    <row r="989" spans="2:12" x14ac:dyDescent="0.25">
      <c r="B989" s="84">
        <v>61295</v>
      </c>
      <c r="C989" s="84"/>
      <c r="D989" s="84"/>
      <c r="E989" s="84"/>
      <c r="F989" s="84"/>
      <c r="G989" s="84"/>
      <c r="H989" s="84"/>
      <c r="I989" s="84"/>
      <c r="J989" s="84"/>
      <c r="K989" s="84"/>
      <c r="L989" s="84"/>
    </row>
    <row r="990" spans="2:12" x14ac:dyDescent="0.25">
      <c r="B990" s="85">
        <v>61395</v>
      </c>
      <c r="C990" s="85"/>
      <c r="D990" s="85"/>
      <c r="E990" s="85"/>
      <c r="F990" s="85"/>
      <c r="G990" s="85"/>
      <c r="H990" s="85"/>
      <c r="I990" s="85"/>
      <c r="J990" s="85"/>
      <c r="K990" s="85"/>
      <c r="L990" s="85"/>
    </row>
    <row r="991" spans="2:12" x14ac:dyDescent="0.25">
      <c r="B991" s="84">
        <v>61495</v>
      </c>
      <c r="C991" s="84"/>
      <c r="D991" s="84"/>
      <c r="E991" s="84"/>
      <c r="F991" s="84"/>
      <c r="G991" s="84"/>
      <c r="H991" s="84"/>
      <c r="I991" s="84"/>
      <c r="J991" s="84"/>
      <c r="K991" s="84"/>
      <c r="L991" s="84"/>
    </row>
    <row r="992" spans="2:12" x14ac:dyDescent="0.25">
      <c r="B992" s="85">
        <v>61595</v>
      </c>
      <c r="C992" s="85"/>
      <c r="D992" s="85"/>
      <c r="E992" s="85"/>
      <c r="F992" s="85"/>
      <c r="G992" s="85"/>
      <c r="H992" s="85"/>
      <c r="I992" s="85"/>
      <c r="J992" s="85"/>
      <c r="K992" s="85"/>
      <c r="L992" s="85"/>
    </row>
    <row r="993" spans="2:12" x14ac:dyDescent="0.25">
      <c r="B993" s="84">
        <v>61695</v>
      </c>
      <c r="C993" s="84"/>
      <c r="D993" s="84"/>
      <c r="E993" s="84"/>
      <c r="F993" s="84"/>
      <c r="G993" s="84"/>
      <c r="H993" s="84"/>
      <c r="I993" s="84"/>
      <c r="J993" s="84"/>
      <c r="K993" s="84"/>
      <c r="L993" s="84"/>
    </row>
    <row r="994" spans="2:12" x14ac:dyDescent="0.25">
      <c r="B994" s="85">
        <v>61795</v>
      </c>
      <c r="C994" s="85"/>
      <c r="D994" s="85"/>
      <c r="E994" s="85"/>
      <c r="F994" s="85"/>
      <c r="G994" s="85"/>
      <c r="H994" s="85"/>
      <c r="I994" s="85"/>
      <c r="J994" s="85"/>
      <c r="K994" s="85"/>
      <c r="L994" s="85"/>
    </row>
    <row r="995" spans="2:12" x14ac:dyDescent="0.25">
      <c r="B995" s="84">
        <v>61895</v>
      </c>
      <c r="C995" s="84"/>
      <c r="D995" s="84"/>
      <c r="E995" s="84"/>
      <c r="F995" s="84"/>
      <c r="G995" s="84"/>
      <c r="H995" s="84"/>
      <c r="I995" s="84"/>
      <c r="J995" s="84"/>
      <c r="K995" s="84"/>
      <c r="L995" s="84"/>
    </row>
    <row r="996" spans="2:12" x14ac:dyDescent="0.25">
      <c r="B996" s="85">
        <v>61995</v>
      </c>
      <c r="C996" s="85"/>
      <c r="D996" s="85"/>
      <c r="E996" s="85"/>
      <c r="F996" s="85"/>
      <c r="G996" s="85"/>
      <c r="H996" s="85"/>
      <c r="I996" s="85"/>
      <c r="J996" s="85"/>
      <c r="K996" s="85"/>
      <c r="L996" s="85"/>
    </row>
    <row r="997" spans="2:12" x14ac:dyDescent="0.25">
      <c r="B997" s="84">
        <v>62095</v>
      </c>
      <c r="C997" s="84"/>
      <c r="D997" s="84"/>
      <c r="E997" s="84"/>
      <c r="F997" s="84"/>
      <c r="G997" s="84"/>
      <c r="H997" s="84"/>
      <c r="I997" s="84"/>
      <c r="J997" s="84"/>
      <c r="K997" s="84"/>
      <c r="L997" s="84"/>
    </row>
    <row r="998" spans="2:12" x14ac:dyDescent="0.25">
      <c r="B998" s="85">
        <v>62195</v>
      </c>
      <c r="C998" s="85"/>
      <c r="D998" s="85"/>
      <c r="E998" s="85"/>
      <c r="F998" s="85"/>
      <c r="G998" s="85"/>
      <c r="H998" s="85"/>
      <c r="I998" s="85"/>
      <c r="J998" s="85"/>
      <c r="K998" s="85"/>
      <c r="L998" s="85"/>
    </row>
    <row r="999" spans="2:12" x14ac:dyDescent="0.25">
      <c r="B999" s="84">
        <v>62295</v>
      </c>
      <c r="C999" s="84"/>
      <c r="D999" s="84"/>
      <c r="E999" s="84"/>
      <c r="F999" s="84"/>
      <c r="G999" s="84"/>
      <c r="H999" s="84"/>
      <c r="I999" s="84"/>
      <c r="J999" s="84"/>
      <c r="K999" s="84"/>
      <c r="L999" s="84"/>
    </row>
    <row r="1000" spans="2:12" x14ac:dyDescent="0.25">
      <c r="B1000" s="85">
        <v>62395</v>
      </c>
      <c r="C1000" s="85"/>
      <c r="D1000" s="85"/>
      <c r="E1000" s="85"/>
      <c r="F1000" s="85"/>
      <c r="G1000" s="85"/>
      <c r="H1000" s="85"/>
      <c r="I1000" s="85"/>
      <c r="J1000" s="85"/>
      <c r="K1000" s="85"/>
      <c r="L1000" s="85"/>
    </row>
    <row r="1001" spans="2:12" x14ac:dyDescent="0.25">
      <c r="B1001" s="84">
        <v>62495</v>
      </c>
      <c r="C1001" s="84"/>
      <c r="D1001" s="84"/>
      <c r="E1001" s="84"/>
      <c r="F1001" s="84"/>
      <c r="G1001" s="84"/>
      <c r="H1001" s="84"/>
      <c r="I1001" s="84"/>
      <c r="J1001" s="84"/>
      <c r="K1001" s="84"/>
      <c r="L1001" s="84"/>
    </row>
    <row r="1002" spans="2:12" x14ac:dyDescent="0.25">
      <c r="B1002" s="85">
        <v>62595</v>
      </c>
      <c r="C1002" s="85"/>
      <c r="D1002" s="85"/>
      <c r="E1002" s="85"/>
      <c r="F1002" s="85"/>
      <c r="G1002" s="85"/>
      <c r="H1002" s="85"/>
      <c r="I1002" s="85"/>
      <c r="J1002" s="85"/>
      <c r="K1002" s="85"/>
      <c r="L1002" s="85"/>
    </row>
    <row r="1003" spans="2:12" x14ac:dyDescent="0.25">
      <c r="B1003" s="84">
        <v>62695</v>
      </c>
      <c r="C1003" s="84"/>
      <c r="D1003" s="84"/>
      <c r="E1003" s="84"/>
      <c r="F1003" s="84"/>
      <c r="G1003" s="84"/>
      <c r="H1003" s="84"/>
      <c r="I1003" s="84"/>
      <c r="J1003" s="84"/>
      <c r="K1003" s="84"/>
      <c r="L1003" s="84"/>
    </row>
    <row r="1004" spans="2:12" x14ac:dyDescent="0.25">
      <c r="B1004" s="85">
        <v>62795</v>
      </c>
      <c r="C1004" s="85"/>
      <c r="D1004" s="85"/>
      <c r="E1004" s="85"/>
      <c r="F1004" s="85"/>
      <c r="G1004" s="85"/>
      <c r="H1004" s="85"/>
      <c r="I1004" s="85"/>
      <c r="J1004" s="85"/>
      <c r="K1004" s="85"/>
      <c r="L1004" s="85"/>
    </row>
    <row r="1005" spans="2:12" x14ac:dyDescent="0.25">
      <c r="B1005" s="84">
        <v>62895</v>
      </c>
      <c r="C1005" s="84"/>
      <c r="D1005" s="84"/>
      <c r="E1005" s="84"/>
      <c r="F1005" s="84"/>
      <c r="G1005" s="84"/>
      <c r="H1005" s="84"/>
      <c r="I1005" s="84"/>
      <c r="J1005" s="84"/>
      <c r="K1005" s="84"/>
      <c r="L1005" s="84"/>
    </row>
    <row r="1006" spans="2:12" x14ac:dyDescent="0.25">
      <c r="B1006" s="85">
        <v>62995</v>
      </c>
      <c r="C1006" s="85"/>
      <c r="D1006" s="85"/>
      <c r="E1006" s="85"/>
      <c r="F1006" s="85"/>
      <c r="G1006" s="85"/>
      <c r="H1006" s="85"/>
      <c r="I1006" s="85"/>
      <c r="J1006" s="85"/>
      <c r="K1006" s="85"/>
      <c r="L1006" s="85"/>
    </row>
    <row r="1007" spans="2:12" x14ac:dyDescent="0.25">
      <c r="B1007" s="84">
        <v>63095</v>
      </c>
      <c r="C1007" s="84"/>
      <c r="D1007" s="84"/>
      <c r="E1007" s="84"/>
      <c r="F1007" s="84"/>
      <c r="G1007" s="84"/>
      <c r="H1007" s="84"/>
      <c r="I1007" s="84"/>
      <c r="J1007" s="84"/>
      <c r="K1007" s="84"/>
      <c r="L1007" s="84"/>
    </row>
    <row r="1008" spans="2:12" x14ac:dyDescent="0.25">
      <c r="B1008" s="85">
        <v>63195</v>
      </c>
      <c r="C1008" s="85"/>
      <c r="D1008" s="85"/>
      <c r="E1008" s="85"/>
      <c r="F1008" s="85"/>
      <c r="G1008" s="85"/>
      <c r="H1008" s="85"/>
      <c r="I1008" s="85"/>
      <c r="J1008" s="85"/>
      <c r="K1008" s="85"/>
      <c r="L1008" s="85"/>
    </row>
    <row r="1009" spans="2:12" x14ac:dyDescent="0.25">
      <c r="B1009" s="84">
        <v>63295</v>
      </c>
      <c r="C1009" s="84"/>
      <c r="D1009" s="84"/>
      <c r="E1009" s="84"/>
      <c r="F1009" s="84"/>
      <c r="G1009" s="84"/>
      <c r="H1009" s="84"/>
      <c r="I1009" s="84"/>
      <c r="J1009" s="84"/>
      <c r="K1009" s="84"/>
      <c r="L1009" s="84"/>
    </row>
    <row r="1010" spans="2:12" x14ac:dyDescent="0.25">
      <c r="B1010" s="85">
        <v>63395</v>
      </c>
      <c r="C1010" s="85"/>
      <c r="D1010" s="85"/>
      <c r="E1010" s="85"/>
      <c r="F1010" s="85"/>
      <c r="G1010" s="85"/>
      <c r="H1010" s="85"/>
      <c r="I1010" s="85"/>
      <c r="J1010" s="85"/>
      <c r="K1010" s="85"/>
      <c r="L1010" s="85"/>
    </row>
    <row r="1011" spans="2:12" x14ac:dyDescent="0.25">
      <c r="B1011" s="84">
        <v>63495</v>
      </c>
      <c r="C1011" s="84"/>
      <c r="D1011" s="84"/>
      <c r="E1011" s="84"/>
      <c r="F1011" s="84"/>
      <c r="G1011" s="84"/>
      <c r="H1011" s="84"/>
      <c r="I1011" s="84"/>
      <c r="J1011" s="84"/>
      <c r="K1011" s="84"/>
      <c r="L1011" s="84"/>
    </row>
    <row r="1012" spans="2:12" x14ac:dyDescent="0.25">
      <c r="B1012" s="85">
        <v>63595</v>
      </c>
      <c r="C1012" s="85"/>
      <c r="D1012" s="85"/>
      <c r="E1012" s="85"/>
      <c r="F1012" s="85"/>
      <c r="G1012" s="85"/>
      <c r="H1012" s="85"/>
      <c r="I1012" s="85"/>
      <c r="J1012" s="85"/>
      <c r="K1012" s="85"/>
      <c r="L1012" s="85"/>
    </row>
    <row r="1013" spans="2:12" x14ac:dyDescent="0.25">
      <c r="B1013" s="84">
        <v>63695</v>
      </c>
      <c r="C1013" s="84"/>
      <c r="D1013" s="84"/>
      <c r="E1013" s="84"/>
      <c r="F1013" s="84"/>
      <c r="G1013" s="84"/>
      <c r="H1013" s="84"/>
      <c r="I1013" s="84"/>
      <c r="J1013" s="84"/>
      <c r="K1013" s="84"/>
      <c r="L1013" s="84"/>
    </row>
    <row r="1014" spans="2:12" x14ac:dyDescent="0.25">
      <c r="B1014" s="85">
        <v>63795</v>
      </c>
      <c r="C1014" s="85"/>
      <c r="D1014" s="85"/>
      <c r="E1014" s="85"/>
      <c r="F1014" s="85"/>
      <c r="G1014" s="85"/>
      <c r="H1014" s="85"/>
      <c r="I1014" s="85"/>
      <c r="J1014" s="85"/>
      <c r="K1014" s="85"/>
      <c r="L1014" s="85"/>
    </row>
    <row r="1015" spans="2:12" x14ac:dyDescent="0.25">
      <c r="B1015" s="84">
        <v>63895</v>
      </c>
      <c r="C1015" s="84"/>
      <c r="D1015" s="84"/>
      <c r="E1015" s="84"/>
      <c r="F1015" s="84"/>
      <c r="G1015" s="84"/>
      <c r="H1015" s="84"/>
      <c r="I1015" s="84"/>
      <c r="J1015" s="84"/>
      <c r="K1015" s="84"/>
      <c r="L1015" s="84"/>
    </row>
    <row r="1016" spans="2:12" x14ac:dyDescent="0.25">
      <c r="B1016" s="85">
        <v>63995</v>
      </c>
      <c r="C1016" s="85"/>
      <c r="D1016" s="85"/>
      <c r="E1016" s="85"/>
      <c r="F1016" s="85"/>
      <c r="G1016" s="85"/>
      <c r="H1016" s="85"/>
      <c r="I1016" s="85"/>
      <c r="J1016" s="85"/>
      <c r="K1016" s="85"/>
      <c r="L1016" s="85"/>
    </row>
    <row r="1017" spans="2:12" x14ac:dyDescent="0.25">
      <c r="B1017" s="84">
        <v>64095</v>
      </c>
      <c r="C1017" s="84"/>
      <c r="D1017" s="84"/>
      <c r="E1017" s="84"/>
      <c r="F1017" s="84"/>
      <c r="G1017" s="84"/>
      <c r="H1017" s="84"/>
      <c r="I1017" s="84"/>
      <c r="J1017" s="84"/>
      <c r="K1017" s="84"/>
      <c r="L1017" s="84"/>
    </row>
    <row r="1018" spans="2:12" x14ac:dyDescent="0.25">
      <c r="B1018" s="85">
        <v>64195</v>
      </c>
      <c r="C1018" s="85"/>
      <c r="D1018" s="85"/>
      <c r="E1018" s="85"/>
      <c r="F1018" s="85"/>
      <c r="G1018" s="85"/>
      <c r="H1018" s="85"/>
      <c r="I1018" s="85"/>
      <c r="J1018" s="85"/>
      <c r="K1018" s="85"/>
      <c r="L1018" s="85"/>
    </row>
    <row r="1019" spans="2:12" x14ac:dyDescent="0.25">
      <c r="B1019" s="84">
        <v>64295</v>
      </c>
      <c r="C1019" s="84"/>
      <c r="D1019" s="84"/>
      <c r="E1019" s="84"/>
      <c r="F1019" s="84"/>
      <c r="G1019" s="84"/>
      <c r="H1019" s="84"/>
      <c r="I1019" s="84"/>
      <c r="J1019" s="84"/>
      <c r="K1019" s="84"/>
      <c r="L1019" s="84"/>
    </row>
    <row r="1020" spans="2:12" x14ac:dyDescent="0.25">
      <c r="B1020" s="85">
        <v>64395</v>
      </c>
      <c r="C1020" s="85"/>
      <c r="D1020" s="85"/>
      <c r="E1020" s="85"/>
      <c r="F1020" s="85"/>
      <c r="G1020" s="85"/>
      <c r="H1020" s="85"/>
      <c r="I1020" s="85"/>
      <c r="J1020" s="85"/>
      <c r="K1020" s="85"/>
      <c r="L1020" s="85"/>
    </row>
    <row r="1021" spans="2:12" x14ac:dyDescent="0.25">
      <c r="B1021" s="84">
        <v>64495</v>
      </c>
      <c r="C1021" s="84"/>
      <c r="D1021" s="84"/>
      <c r="E1021" s="84"/>
      <c r="F1021" s="84"/>
      <c r="G1021" s="84"/>
      <c r="H1021" s="84"/>
      <c r="I1021" s="84"/>
      <c r="J1021" s="84"/>
      <c r="K1021" s="84"/>
      <c r="L1021" s="84"/>
    </row>
    <row r="1022" spans="2:12" x14ac:dyDescent="0.25">
      <c r="B1022" s="85">
        <v>64595</v>
      </c>
      <c r="C1022" s="85"/>
      <c r="D1022" s="85"/>
      <c r="E1022" s="85"/>
      <c r="F1022" s="85"/>
      <c r="G1022" s="85"/>
      <c r="H1022" s="85"/>
      <c r="I1022" s="85"/>
      <c r="J1022" s="85"/>
      <c r="K1022" s="85"/>
      <c r="L1022" s="85"/>
    </row>
    <row r="1023" spans="2:12" x14ac:dyDescent="0.25">
      <c r="B1023" s="84">
        <v>64695</v>
      </c>
      <c r="C1023" s="84"/>
      <c r="D1023" s="84"/>
      <c r="E1023" s="84"/>
      <c r="F1023" s="84"/>
      <c r="G1023" s="84"/>
      <c r="H1023" s="84"/>
      <c r="I1023" s="84"/>
      <c r="J1023" s="84"/>
      <c r="K1023" s="84"/>
      <c r="L1023" s="84"/>
    </row>
    <row r="1024" spans="2:12" x14ac:dyDescent="0.25">
      <c r="B1024" s="85">
        <v>64795</v>
      </c>
      <c r="C1024" s="85"/>
      <c r="D1024" s="85"/>
      <c r="E1024" s="85"/>
      <c r="F1024" s="85"/>
      <c r="G1024" s="85"/>
      <c r="H1024" s="85"/>
      <c r="I1024" s="85"/>
      <c r="J1024" s="85"/>
      <c r="K1024" s="85"/>
      <c r="L1024" s="85"/>
    </row>
    <row r="1025" spans="2:12" x14ac:dyDescent="0.25">
      <c r="B1025" s="84">
        <v>64895</v>
      </c>
      <c r="C1025" s="84"/>
      <c r="D1025" s="84"/>
      <c r="E1025" s="84"/>
      <c r="F1025" s="84"/>
      <c r="G1025" s="84"/>
      <c r="H1025" s="84"/>
      <c r="I1025" s="84"/>
      <c r="J1025" s="84"/>
      <c r="K1025" s="84"/>
      <c r="L1025" s="84"/>
    </row>
    <row r="1026" spans="2:12" x14ac:dyDescent="0.25">
      <c r="B1026" s="85">
        <v>64995</v>
      </c>
      <c r="C1026" s="85"/>
      <c r="D1026" s="85"/>
      <c r="E1026" s="85"/>
      <c r="F1026" s="85"/>
      <c r="G1026" s="85"/>
      <c r="H1026" s="85"/>
      <c r="I1026" s="85"/>
      <c r="J1026" s="85"/>
      <c r="K1026" s="85"/>
      <c r="L1026" s="85"/>
    </row>
    <row r="1027" spans="2:12" x14ac:dyDescent="0.25">
      <c r="B1027" s="84">
        <v>65095</v>
      </c>
      <c r="C1027" s="84"/>
      <c r="D1027" s="84"/>
      <c r="E1027" s="84"/>
      <c r="F1027" s="84"/>
      <c r="G1027" s="84"/>
      <c r="H1027" s="84"/>
      <c r="I1027" s="84"/>
      <c r="J1027" s="84"/>
      <c r="K1027" s="84"/>
      <c r="L1027" s="84"/>
    </row>
    <row r="1028" spans="2:12" x14ac:dyDescent="0.25">
      <c r="B1028" s="85">
        <v>65195</v>
      </c>
      <c r="C1028" s="85"/>
      <c r="D1028" s="85"/>
      <c r="E1028" s="85"/>
      <c r="F1028" s="85"/>
      <c r="G1028" s="85"/>
      <c r="H1028" s="85"/>
      <c r="I1028" s="85"/>
      <c r="J1028" s="85"/>
      <c r="K1028" s="85"/>
      <c r="L1028" s="85"/>
    </row>
    <row r="1029" spans="2:12" x14ac:dyDescent="0.25">
      <c r="B1029" s="84">
        <v>65295</v>
      </c>
      <c r="C1029" s="84"/>
      <c r="D1029" s="84"/>
      <c r="E1029" s="84"/>
      <c r="F1029" s="84"/>
      <c r="G1029" s="84"/>
      <c r="H1029" s="84"/>
      <c r="I1029" s="84"/>
      <c r="J1029" s="84"/>
      <c r="K1029" s="84"/>
      <c r="L1029" s="84"/>
    </row>
    <row r="1030" spans="2:12" x14ac:dyDescent="0.25">
      <c r="B1030" s="85">
        <v>65395</v>
      </c>
      <c r="C1030" s="85"/>
      <c r="D1030" s="85"/>
      <c r="E1030" s="85"/>
      <c r="F1030" s="85"/>
      <c r="G1030" s="85"/>
      <c r="H1030" s="85"/>
      <c r="I1030" s="85"/>
      <c r="J1030" s="85"/>
      <c r="K1030" s="85"/>
      <c r="L1030" s="85"/>
    </row>
    <row r="1031" spans="2:12" x14ac:dyDescent="0.25">
      <c r="B1031" s="84">
        <v>65495</v>
      </c>
      <c r="C1031" s="84"/>
      <c r="D1031" s="84"/>
      <c r="E1031" s="84"/>
      <c r="F1031" s="84"/>
      <c r="G1031" s="84"/>
      <c r="H1031" s="84"/>
      <c r="I1031" s="84"/>
      <c r="J1031" s="84"/>
      <c r="K1031" s="84"/>
      <c r="L1031" s="84"/>
    </row>
    <row r="1032" spans="2:12" x14ac:dyDescent="0.25">
      <c r="B1032" s="85">
        <v>65595</v>
      </c>
      <c r="C1032" s="85"/>
      <c r="D1032" s="85"/>
      <c r="E1032" s="85"/>
      <c r="F1032" s="85"/>
      <c r="G1032" s="85"/>
      <c r="H1032" s="85"/>
      <c r="I1032" s="85"/>
      <c r="J1032" s="85"/>
      <c r="K1032" s="85"/>
      <c r="L1032" s="85"/>
    </row>
    <row r="1033" spans="2:12" x14ac:dyDescent="0.25">
      <c r="B1033" s="84">
        <v>65695</v>
      </c>
      <c r="C1033" s="84"/>
      <c r="D1033" s="84"/>
      <c r="E1033" s="84"/>
      <c r="F1033" s="84"/>
      <c r="G1033" s="84"/>
      <c r="H1033" s="84"/>
      <c r="I1033" s="84"/>
      <c r="J1033" s="84"/>
      <c r="K1033" s="84"/>
      <c r="L1033" s="84"/>
    </row>
    <row r="1034" spans="2:12" x14ac:dyDescent="0.25">
      <c r="B1034" s="85">
        <v>65795</v>
      </c>
      <c r="C1034" s="85"/>
      <c r="D1034" s="85"/>
      <c r="E1034" s="85"/>
      <c r="F1034" s="85"/>
      <c r="G1034" s="85"/>
      <c r="H1034" s="85"/>
      <c r="I1034" s="85"/>
      <c r="J1034" s="85"/>
      <c r="K1034" s="85"/>
      <c r="L1034" s="85"/>
    </row>
    <row r="1035" spans="2:12" x14ac:dyDescent="0.25">
      <c r="B1035" s="84">
        <v>65895</v>
      </c>
      <c r="C1035" s="84"/>
      <c r="D1035" s="84"/>
      <c r="E1035" s="84"/>
      <c r="F1035" s="84"/>
      <c r="G1035" s="84"/>
      <c r="H1035" s="84"/>
      <c r="I1035" s="84"/>
      <c r="J1035" s="84"/>
      <c r="K1035" s="84"/>
      <c r="L1035" s="84"/>
    </row>
    <row r="1036" spans="2:12" x14ac:dyDescent="0.25">
      <c r="B1036" s="85">
        <v>65995</v>
      </c>
      <c r="C1036" s="85"/>
      <c r="D1036" s="85"/>
      <c r="E1036" s="85"/>
      <c r="F1036" s="85"/>
      <c r="G1036" s="85"/>
      <c r="H1036" s="85"/>
      <c r="I1036" s="85"/>
      <c r="J1036" s="85"/>
      <c r="K1036" s="85"/>
      <c r="L1036" s="85"/>
    </row>
    <row r="1037" spans="2:12" x14ac:dyDescent="0.25">
      <c r="B1037" s="84">
        <v>66095</v>
      </c>
      <c r="C1037" s="84"/>
      <c r="D1037" s="84"/>
      <c r="E1037" s="84"/>
      <c r="F1037" s="84"/>
      <c r="G1037" s="84"/>
      <c r="H1037" s="84"/>
      <c r="I1037" s="84"/>
      <c r="J1037" s="84"/>
      <c r="K1037" s="84"/>
      <c r="L1037" s="84"/>
    </row>
    <row r="1038" spans="2:12" x14ac:dyDescent="0.25">
      <c r="B1038" s="85">
        <v>66195</v>
      </c>
      <c r="C1038" s="85"/>
      <c r="D1038" s="85"/>
      <c r="E1038" s="85"/>
      <c r="F1038" s="85"/>
      <c r="G1038" s="85"/>
      <c r="H1038" s="85"/>
      <c r="I1038" s="85"/>
      <c r="J1038" s="85"/>
      <c r="K1038" s="85"/>
      <c r="L1038" s="85"/>
    </row>
    <row r="1039" spans="2:12" x14ac:dyDescent="0.25">
      <c r="B1039" s="84">
        <v>66295</v>
      </c>
      <c r="C1039" s="84"/>
      <c r="D1039" s="84"/>
      <c r="E1039" s="84"/>
      <c r="F1039" s="84"/>
      <c r="G1039" s="84"/>
      <c r="H1039" s="84"/>
      <c r="I1039" s="84"/>
      <c r="J1039" s="84"/>
      <c r="K1039" s="84"/>
      <c r="L1039" s="84"/>
    </row>
    <row r="1040" spans="2:12" x14ac:dyDescent="0.25">
      <c r="B1040" s="85">
        <v>66395</v>
      </c>
      <c r="C1040" s="85"/>
      <c r="D1040" s="85"/>
      <c r="E1040" s="85"/>
      <c r="F1040" s="85"/>
      <c r="G1040" s="85"/>
      <c r="H1040" s="85"/>
      <c r="I1040" s="85"/>
      <c r="J1040" s="85"/>
      <c r="K1040" s="85"/>
      <c r="L1040" s="85"/>
    </row>
    <row r="1041" spans="2:12" x14ac:dyDescent="0.25">
      <c r="B1041" s="84">
        <v>66495</v>
      </c>
      <c r="C1041" s="84"/>
      <c r="D1041" s="84"/>
      <c r="E1041" s="84"/>
      <c r="F1041" s="84"/>
      <c r="G1041" s="84"/>
      <c r="H1041" s="84"/>
      <c r="I1041" s="84"/>
      <c r="J1041" s="84"/>
      <c r="K1041" s="84"/>
      <c r="L1041" s="84"/>
    </row>
    <row r="1042" spans="2:12" x14ac:dyDescent="0.25">
      <c r="B1042" s="85">
        <v>66595</v>
      </c>
      <c r="C1042" s="85"/>
      <c r="D1042" s="85"/>
      <c r="E1042" s="85"/>
      <c r="F1042" s="85"/>
      <c r="G1042" s="85"/>
      <c r="H1042" s="85"/>
      <c r="I1042" s="85"/>
      <c r="J1042" s="85"/>
      <c r="K1042" s="85"/>
      <c r="L1042" s="85"/>
    </row>
    <row r="1043" spans="2:12" x14ac:dyDescent="0.25">
      <c r="B1043" s="84">
        <v>66695</v>
      </c>
      <c r="C1043" s="84"/>
      <c r="D1043" s="84"/>
      <c r="E1043" s="84"/>
      <c r="F1043" s="84"/>
      <c r="G1043" s="84"/>
      <c r="H1043" s="84"/>
      <c r="I1043" s="84"/>
      <c r="J1043" s="84"/>
      <c r="K1043" s="84"/>
      <c r="L1043" s="84"/>
    </row>
    <row r="1044" spans="2:12" x14ac:dyDescent="0.25">
      <c r="B1044" s="85">
        <v>66795</v>
      </c>
      <c r="C1044" s="85"/>
      <c r="D1044" s="85"/>
      <c r="E1044" s="85"/>
      <c r="F1044" s="85"/>
      <c r="G1044" s="85"/>
      <c r="H1044" s="85"/>
      <c r="I1044" s="85"/>
      <c r="J1044" s="85"/>
      <c r="K1044" s="85"/>
      <c r="L1044" s="85"/>
    </row>
    <row r="1045" spans="2:12" x14ac:dyDescent="0.25">
      <c r="B1045" s="84">
        <v>66895</v>
      </c>
      <c r="C1045" s="84"/>
      <c r="D1045" s="84"/>
      <c r="E1045" s="84"/>
      <c r="F1045" s="84"/>
      <c r="G1045" s="84"/>
      <c r="H1045" s="84"/>
      <c r="I1045" s="84"/>
      <c r="J1045" s="84"/>
      <c r="K1045" s="84"/>
      <c r="L1045" s="84"/>
    </row>
    <row r="1046" spans="2:12" x14ac:dyDescent="0.25">
      <c r="B1046" s="85">
        <v>66995</v>
      </c>
      <c r="C1046" s="85"/>
      <c r="D1046" s="85"/>
      <c r="E1046" s="85"/>
      <c r="F1046" s="85"/>
      <c r="G1046" s="85"/>
      <c r="H1046" s="85"/>
      <c r="I1046" s="85"/>
      <c r="J1046" s="85"/>
      <c r="K1046" s="85"/>
      <c r="L1046" s="85"/>
    </row>
    <row r="1047" spans="2:12" x14ac:dyDescent="0.25">
      <c r="B1047" s="84">
        <v>67095</v>
      </c>
      <c r="C1047" s="84"/>
      <c r="D1047" s="84"/>
      <c r="E1047" s="84"/>
      <c r="F1047" s="84"/>
      <c r="G1047" s="84"/>
      <c r="H1047" s="84"/>
      <c r="I1047" s="84"/>
      <c r="J1047" s="84"/>
      <c r="K1047" s="84"/>
      <c r="L1047" s="84"/>
    </row>
    <row r="1048" spans="2:12" x14ac:dyDescent="0.25">
      <c r="B1048" s="85">
        <v>67195</v>
      </c>
      <c r="C1048" s="85"/>
      <c r="D1048" s="85"/>
      <c r="E1048" s="85"/>
      <c r="F1048" s="85"/>
      <c r="G1048" s="85"/>
      <c r="H1048" s="85"/>
      <c r="I1048" s="85"/>
      <c r="J1048" s="85"/>
      <c r="K1048" s="85"/>
      <c r="L1048" s="85"/>
    </row>
    <row r="1049" spans="2:12" x14ac:dyDescent="0.25">
      <c r="B1049" s="84">
        <v>67295</v>
      </c>
      <c r="C1049" s="84"/>
      <c r="D1049" s="84"/>
      <c r="E1049" s="84"/>
      <c r="F1049" s="84"/>
      <c r="G1049" s="84"/>
      <c r="H1049" s="84"/>
      <c r="I1049" s="84"/>
      <c r="J1049" s="84"/>
      <c r="K1049" s="84"/>
      <c r="L1049" s="84"/>
    </row>
    <row r="1050" spans="2:12" x14ac:dyDescent="0.25">
      <c r="B1050" s="85">
        <v>67395</v>
      </c>
      <c r="C1050" s="85"/>
      <c r="D1050" s="85"/>
      <c r="E1050" s="85"/>
      <c r="F1050" s="85"/>
      <c r="G1050" s="85"/>
      <c r="H1050" s="85"/>
      <c r="I1050" s="85"/>
      <c r="J1050" s="85"/>
      <c r="K1050" s="85"/>
      <c r="L1050" s="85"/>
    </row>
    <row r="1051" spans="2:12" x14ac:dyDescent="0.25">
      <c r="B1051" s="84">
        <v>67495</v>
      </c>
      <c r="C1051" s="84"/>
      <c r="D1051" s="84"/>
      <c r="E1051" s="84"/>
      <c r="F1051" s="84"/>
      <c r="G1051" s="84"/>
      <c r="H1051" s="84"/>
      <c r="I1051" s="84"/>
      <c r="J1051" s="84"/>
      <c r="K1051" s="84"/>
      <c r="L1051" s="84"/>
    </row>
    <row r="1052" spans="2:12" x14ac:dyDescent="0.25">
      <c r="B1052" s="85">
        <v>67595</v>
      </c>
      <c r="C1052" s="85"/>
      <c r="D1052" s="85"/>
      <c r="E1052" s="85"/>
      <c r="F1052" s="85"/>
      <c r="G1052" s="85"/>
      <c r="H1052" s="85"/>
      <c r="I1052" s="85"/>
      <c r="J1052" s="85"/>
      <c r="K1052" s="85"/>
      <c r="L1052" s="85"/>
    </row>
    <row r="1053" spans="2:12" x14ac:dyDescent="0.25">
      <c r="B1053" s="84">
        <v>67695</v>
      </c>
      <c r="C1053" s="84"/>
      <c r="D1053" s="84"/>
      <c r="E1053" s="84"/>
      <c r="F1053" s="84"/>
      <c r="G1053" s="84"/>
      <c r="H1053" s="84"/>
      <c r="I1053" s="84"/>
      <c r="J1053" s="84"/>
      <c r="K1053" s="84"/>
      <c r="L1053" s="84"/>
    </row>
    <row r="1054" spans="2:12" x14ac:dyDescent="0.25">
      <c r="B1054" s="85">
        <v>67795</v>
      </c>
      <c r="C1054" s="85"/>
      <c r="D1054" s="85"/>
      <c r="E1054" s="85"/>
      <c r="F1054" s="85"/>
      <c r="G1054" s="85"/>
      <c r="H1054" s="85"/>
      <c r="I1054" s="85"/>
      <c r="J1054" s="85"/>
      <c r="K1054" s="85"/>
      <c r="L1054" s="85"/>
    </row>
    <row r="1055" spans="2:12" x14ac:dyDescent="0.25">
      <c r="B1055" s="84">
        <v>67895</v>
      </c>
      <c r="C1055" s="84"/>
      <c r="D1055" s="84"/>
      <c r="E1055" s="84"/>
      <c r="F1055" s="84"/>
      <c r="G1055" s="84"/>
      <c r="H1055" s="84"/>
      <c r="I1055" s="84"/>
      <c r="J1055" s="84"/>
      <c r="K1055" s="84"/>
      <c r="L1055" s="84"/>
    </row>
    <row r="1056" spans="2:12" x14ac:dyDescent="0.25">
      <c r="B1056" s="85">
        <v>67995</v>
      </c>
      <c r="C1056" s="85"/>
      <c r="D1056" s="85"/>
      <c r="E1056" s="85"/>
      <c r="F1056" s="85"/>
      <c r="G1056" s="85"/>
      <c r="H1056" s="85"/>
      <c r="I1056" s="85"/>
      <c r="J1056" s="85"/>
      <c r="K1056" s="85"/>
      <c r="L1056" s="85"/>
    </row>
    <row r="1057" spans="2:12" x14ac:dyDescent="0.25">
      <c r="B1057" s="84">
        <v>68095</v>
      </c>
      <c r="C1057" s="84"/>
      <c r="D1057" s="84"/>
      <c r="E1057" s="84"/>
      <c r="F1057" s="84"/>
      <c r="G1057" s="84"/>
      <c r="H1057" s="84"/>
      <c r="I1057" s="84"/>
      <c r="J1057" s="84"/>
      <c r="K1057" s="84"/>
      <c r="L1057" s="84"/>
    </row>
    <row r="1058" spans="2:12" x14ac:dyDescent="0.25">
      <c r="B1058" s="85">
        <v>68195</v>
      </c>
      <c r="C1058" s="85"/>
      <c r="D1058" s="85"/>
      <c r="E1058" s="85"/>
      <c r="F1058" s="85"/>
      <c r="G1058" s="85"/>
      <c r="H1058" s="85"/>
      <c r="I1058" s="85"/>
      <c r="J1058" s="85"/>
      <c r="K1058" s="85"/>
      <c r="L1058" s="85"/>
    </row>
    <row r="1059" spans="2:12" x14ac:dyDescent="0.25">
      <c r="B1059" s="84">
        <v>68295</v>
      </c>
      <c r="C1059" s="84"/>
      <c r="D1059" s="84"/>
      <c r="E1059" s="84"/>
      <c r="F1059" s="84"/>
      <c r="G1059" s="84"/>
      <c r="H1059" s="84"/>
      <c r="I1059" s="84"/>
      <c r="J1059" s="84"/>
      <c r="K1059" s="84"/>
      <c r="L1059" s="84"/>
    </row>
    <row r="1060" spans="2:12" x14ac:dyDescent="0.25">
      <c r="B1060" s="85">
        <v>68395</v>
      </c>
      <c r="C1060" s="85"/>
      <c r="D1060" s="85"/>
      <c r="E1060" s="85"/>
      <c r="F1060" s="85"/>
      <c r="G1060" s="85"/>
      <c r="H1060" s="85"/>
      <c r="I1060" s="85"/>
      <c r="J1060" s="85"/>
      <c r="K1060" s="85"/>
      <c r="L1060" s="85"/>
    </row>
    <row r="1061" spans="2:12" x14ac:dyDescent="0.25">
      <c r="B1061" s="84">
        <v>68495</v>
      </c>
      <c r="C1061" s="84"/>
      <c r="D1061" s="84"/>
      <c r="E1061" s="84"/>
      <c r="F1061" s="84"/>
      <c r="G1061" s="84"/>
      <c r="H1061" s="84"/>
      <c r="I1061" s="84"/>
      <c r="J1061" s="84"/>
      <c r="K1061" s="84"/>
      <c r="L1061" s="84"/>
    </row>
    <row r="1062" spans="2:12" x14ac:dyDescent="0.25">
      <c r="B1062" s="85">
        <v>68595</v>
      </c>
      <c r="C1062" s="85"/>
      <c r="D1062" s="85"/>
      <c r="E1062" s="85"/>
      <c r="F1062" s="85"/>
      <c r="G1062" s="85"/>
      <c r="H1062" s="85"/>
      <c r="I1062" s="85"/>
      <c r="J1062" s="85"/>
      <c r="K1062" s="85"/>
      <c r="L1062" s="85"/>
    </row>
    <row r="1063" spans="2:12" x14ac:dyDescent="0.25">
      <c r="B1063" s="84">
        <v>68695</v>
      </c>
      <c r="C1063" s="84"/>
      <c r="D1063" s="84"/>
      <c r="E1063" s="84"/>
      <c r="F1063" s="84"/>
      <c r="G1063" s="84"/>
      <c r="H1063" s="84"/>
      <c r="I1063" s="84"/>
      <c r="J1063" s="84"/>
      <c r="K1063" s="84"/>
      <c r="L1063" s="84"/>
    </row>
    <row r="1064" spans="2:12" x14ac:dyDescent="0.25">
      <c r="B1064" s="85">
        <v>68795</v>
      </c>
      <c r="C1064" s="85"/>
      <c r="D1064" s="85"/>
      <c r="E1064" s="85"/>
      <c r="F1064" s="85"/>
      <c r="G1064" s="85"/>
      <c r="H1064" s="85"/>
      <c r="I1064" s="85"/>
      <c r="J1064" s="85"/>
      <c r="K1064" s="85"/>
      <c r="L1064" s="85"/>
    </row>
    <row r="1065" spans="2:12" x14ac:dyDescent="0.25">
      <c r="B1065" s="84">
        <v>68895</v>
      </c>
      <c r="C1065" s="84"/>
      <c r="D1065" s="84"/>
      <c r="E1065" s="84"/>
      <c r="F1065" s="84"/>
      <c r="G1065" s="84"/>
      <c r="H1065" s="84"/>
      <c r="I1065" s="84"/>
      <c r="J1065" s="84"/>
      <c r="K1065" s="84"/>
      <c r="L1065" s="84"/>
    </row>
    <row r="1066" spans="2:12" x14ac:dyDescent="0.25">
      <c r="B1066" s="85">
        <v>68995</v>
      </c>
      <c r="C1066" s="85"/>
      <c r="D1066" s="85"/>
      <c r="E1066" s="85"/>
      <c r="F1066" s="85"/>
      <c r="G1066" s="85"/>
      <c r="H1066" s="85"/>
      <c r="I1066" s="85"/>
      <c r="J1066" s="85"/>
      <c r="K1066" s="85"/>
      <c r="L1066" s="85"/>
    </row>
    <row r="1067" spans="2:12" x14ac:dyDescent="0.25">
      <c r="B1067" s="84">
        <v>69095</v>
      </c>
      <c r="C1067" s="84"/>
      <c r="D1067" s="84"/>
      <c r="E1067" s="84"/>
      <c r="F1067" s="84"/>
      <c r="G1067" s="84"/>
      <c r="H1067" s="84"/>
      <c r="I1067" s="84"/>
      <c r="J1067" s="84"/>
      <c r="K1067" s="84"/>
      <c r="L1067" s="84"/>
    </row>
    <row r="1068" spans="2:12" x14ac:dyDescent="0.25">
      <c r="B1068" s="85">
        <v>69195</v>
      </c>
      <c r="C1068" s="85"/>
      <c r="D1068" s="85"/>
      <c r="E1068" s="85"/>
      <c r="F1068" s="85"/>
      <c r="G1068" s="85"/>
      <c r="H1068" s="85"/>
      <c r="I1068" s="85"/>
      <c r="J1068" s="85"/>
      <c r="K1068" s="85"/>
      <c r="L1068" s="85"/>
    </row>
    <row r="1069" spans="2:12" x14ac:dyDescent="0.25">
      <c r="B1069" s="84">
        <v>69295</v>
      </c>
      <c r="C1069" s="84"/>
      <c r="D1069" s="84"/>
      <c r="E1069" s="84"/>
      <c r="F1069" s="84"/>
      <c r="G1069" s="84"/>
      <c r="H1069" s="84"/>
      <c r="I1069" s="84"/>
      <c r="J1069" s="84"/>
      <c r="K1069" s="84"/>
      <c r="L1069" s="84"/>
    </row>
    <row r="1070" spans="2:12" x14ac:dyDescent="0.25">
      <c r="B1070" s="85">
        <v>69395</v>
      </c>
      <c r="C1070" s="85"/>
      <c r="D1070" s="85"/>
      <c r="E1070" s="85"/>
      <c r="F1070" s="85"/>
      <c r="G1070" s="85"/>
      <c r="H1070" s="85"/>
      <c r="I1070" s="85"/>
      <c r="J1070" s="85"/>
      <c r="K1070" s="85"/>
      <c r="L1070" s="85"/>
    </row>
    <row r="1071" spans="2:12" x14ac:dyDescent="0.25">
      <c r="B1071" s="84">
        <v>69495</v>
      </c>
      <c r="C1071" s="84"/>
      <c r="D1071" s="84"/>
      <c r="E1071" s="84"/>
      <c r="F1071" s="84"/>
      <c r="G1071" s="84"/>
      <c r="H1071" s="84"/>
      <c r="I1071" s="84"/>
      <c r="J1071" s="84"/>
      <c r="K1071" s="84"/>
      <c r="L1071" s="84"/>
    </row>
    <row r="1072" spans="2:12" x14ac:dyDescent="0.25">
      <c r="B1072" s="85">
        <v>69595</v>
      </c>
      <c r="C1072" s="85"/>
      <c r="D1072" s="85"/>
      <c r="E1072" s="85"/>
      <c r="F1072" s="85"/>
      <c r="G1072" s="85"/>
      <c r="H1072" s="85"/>
      <c r="I1072" s="85"/>
      <c r="J1072" s="85"/>
      <c r="K1072" s="85"/>
      <c r="L1072" s="85"/>
    </row>
    <row r="1073" spans="2:12" x14ac:dyDescent="0.25">
      <c r="B1073" s="84">
        <v>69695</v>
      </c>
      <c r="C1073" s="84"/>
      <c r="D1073" s="84"/>
      <c r="E1073" s="84"/>
      <c r="F1073" s="84"/>
      <c r="G1073" s="84"/>
      <c r="H1073" s="84"/>
      <c r="I1073" s="84"/>
      <c r="J1073" s="84"/>
      <c r="K1073" s="84"/>
      <c r="L1073" s="84"/>
    </row>
    <row r="1074" spans="2:12" x14ac:dyDescent="0.25">
      <c r="B1074" s="85">
        <v>69795</v>
      </c>
      <c r="C1074" s="85"/>
      <c r="D1074" s="85"/>
      <c r="E1074" s="85"/>
      <c r="F1074" s="85"/>
      <c r="G1074" s="85"/>
      <c r="H1074" s="85"/>
      <c r="I1074" s="85"/>
      <c r="J1074" s="85"/>
      <c r="K1074" s="85"/>
      <c r="L1074" s="85"/>
    </row>
    <row r="1075" spans="2:12" x14ac:dyDescent="0.25">
      <c r="B1075" s="84">
        <v>69895</v>
      </c>
      <c r="C1075" s="84"/>
      <c r="D1075" s="84"/>
      <c r="E1075" s="84"/>
      <c r="F1075" s="84"/>
      <c r="G1075" s="84"/>
      <c r="H1075" s="84"/>
      <c r="I1075" s="84"/>
      <c r="J1075" s="84"/>
      <c r="K1075" s="84"/>
      <c r="L1075" s="84"/>
    </row>
    <row r="1076" spans="2:12" x14ac:dyDescent="0.25">
      <c r="B1076" s="85">
        <v>69995</v>
      </c>
      <c r="C1076" s="85"/>
      <c r="D1076" s="85"/>
      <c r="E1076" s="85"/>
      <c r="F1076" s="85"/>
      <c r="G1076" s="85"/>
      <c r="H1076" s="85"/>
      <c r="I1076" s="85"/>
      <c r="J1076" s="85"/>
      <c r="K1076" s="85"/>
      <c r="L1076" s="85"/>
    </row>
    <row r="1077" spans="2:12" x14ac:dyDescent="0.25">
      <c r="B1077" s="84">
        <v>70095</v>
      </c>
      <c r="C1077" s="84"/>
      <c r="D1077" s="84"/>
      <c r="E1077" s="84"/>
      <c r="F1077" s="84"/>
      <c r="G1077" s="84"/>
      <c r="H1077" s="84"/>
      <c r="I1077" s="84"/>
      <c r="J1077" s="84"/>
      <c r="K1077" s="84"/>
      <c r="L1077" s="84"/>
    </row>
    <row r="1078" spans="2:12" x14ac:dyDescent="0.25">
      <c r="B1078" s="85">
        <v>70195</v>
      </c>
      <c r="C1078" s="85"/>
      <c r="D1078" s="85"/>
      <c r="E1078" s="85"/>
      <c r="F1078" s="85"/>
      <c r="G1078" s="85"/>
      <c r="H1078" s="85"/>
      <c r="I1078" s="85"/>
      <c r="J1078" s="85"/>
      <c r="K1078" s="85"/>
      <c r="L1078" s="85"/>
    </row>
    <row r="1079" spans="2:12" x14ac:dyDescent="0.25">
      <c r="B1079" s="84">
        <v>70295</v>
      </c>
      <c r="C1079" s="84"/>
      <c r="D1079" s="84"/>
      <c r="E1079" s="84"/>
      <c r="F1079" s="84"/>
      <c r="G1079" s="84"/>
      <c r="H1079" s="84"/>
      <c r="I1079" s="84"/>
      <c r="J1079" s="84"/>
      <c r="K1079" s="84"/>
      <c r="L1079" s="84"/>
    </row>
    <row r="1080" spans="2:12" x14ac:dyDescent="0.25">
      <c r="B1080" s="85">
        <v>70395</v>
      </c>
      <c r="C1080" s="85"/>
      <c r="D1080" s="85"/>
      <c r="E1080" s="85"/>
      <c r="F1080" s="85"/>
      <c r="G1080" s="85"/>
      <c r="H1080" s="85"/>
      <c r="I1080" s="85"/>
      <c r="J1080" s="85"/>
      <c r="K1080" s="85"/>
      <c r="L1080" s="85"/>
    </row>
    <row r="1081" spans="2:12" x14ac:dyDescent="0.25">
      <c r="B1081" s="84">
        <v>70495</v>
      </c>
      <c r="C1081" s="84"/>
      <c r="D1081" s="84"/>
      <c r="E1081" s="84"/>
      <c r="F1081" s="84"/>
      <c r="G1081" s="84"/>
      <c r="H1081" s="84"/>
      <c r="I1081" s="84"/>
      <c r="J1081" s="84"/>
      <c r="K1081" s="84"/>
      <c r="L1081" s="84"/>
    </row>
    <row r="1082" spans="2:12" x14ac:dyDescent="0.25">
      <c r="B1082" s="85">
        <v>70595</v>
      </c>
      <c r="C1082" s="85"/>
      <c r="D1082" s="85"/>
      <c r="E1082" s="85"/>
      <c r="F1082" s="85"/>
      <c r="G1082" s="85"/>
      <c r="H1082" s="85"/>
      <c r="I1082" s="85"/>
      <c r="J1082" s="85"/>
      <c r="K1082" s="85"/>
      <c r="L1082" s="85"/>
    </row>
    <row r="1083" spans="2:12" x14ac:dyDescent="0.25">
      <c r="B1083" s="84">
        <v>70695</v>
      </c>
      <c r="C1083" s="84"/>
      <c r="D1083" s="84"/>
      <c r="E1083" s="84"/>
      <c r="F1083" s="84"/>
      <c r="G1083" s="84"/>
      <c r="H1083" s="84"/>
      <c r="I1083" s="84"/>
      <c r="J1083" s="84"/>
      <c r="K1083" s="84"/>
      <c r="L1083" s="84"/>
    </row>
    <row r="1084" spans="2:12" x14ac:dyDescent="0.25">
      <c r="B1084" s="85">
        <v>70795</v>
      </c>
      <c r="C1084" s="85"/>
      <c r="D1084" s="85"/>
      <c r="E1084" s="85"/>
      <c r="F1084" s="85"/>
      <c r="G1084" s="85"/>
      <c r="H1084" s="85"/>
      <c r="I1084" s="85"/>
      <c r="J1084" s="85"/>
      <c r="K1084" s="85"/>
      <c r="L1084" s="85"/>
    </row>
    <row r="1085" spans="2:12" x14ac:dyDescent="0.25">
      <c r="B1085" s="84">
        <v>70895</v>
      </c>
      <c r="C1085" s="84"/>
      <c r="D1085" s="84"/>
      <c r="E1085" s="84"/>
      <c r="F1085" s="84"/>
      <c r="G1085" s="84"/>
      <c r="H1085" s="84"/>
      <c r="I1085" s="84"/>
      <c r="J1085" s="84"/>
      <c r="K1085" s="84"/>
      <c r="L1085" s="84"/>
    </row>
    <row r="1086" spans="2:12" x14ac:dyDescent="0.25">
      <c r="B1086" s="85">
        <v>70995</v>
      </c>
      <c r="C1086" s="85"/>
      <c r="D1086" s="85"/>
      <c r="E1086" s="85"/>
      <c r="F1086" s="85"/>
      <c r="G1086" s="85"/>
      <c r="H1086" s="85"/>
      <c r="I1086" s="85"/>
      <c r="J1086" s="85"/>
      <c r="K1086" s="85"/>
      <c r="L1086" s="85"/>
    </row>
    <row r="1087" spans="2:12" x14ac:dyDescent="0.25">
      <c r="B1087" s="84">
        <v>71095</v>
      </c>
      <c r="C1087" s="84"/>
      <c r="D1087" s="84"/>
      <c r="E1087" s="84"/>
      <c r="F1087" s="84"/>
      <c r="G1087" s="84"/>
      <c r="H1087" s="84"/>
      <c r="I1087" s="84"/>
      <c r="J1087" s="84"/>
      <c r="K1087" s="84"/>
      <c r="L1087" s="84"/>
    </row>
    <row r="1088" spans="2:12" x14ac:dyDescent="0.25">
      <c r="B1088" s="85">
        <v>71195</v>
      </c>
      <c r="C1088" s="85"/>
      <c r="D1088" s="85"/>
      <c r="E1088" s="85"/>
      <c r="F1088" s="85"/>
      <c r="G1088" s="85"/>
      <c r="H1088" s="85"/>
      <c r="I1088" s="85"/>
      <c r="J1088" s="85"/>
      <c r="K1088" s="85"/>
      <c r="L1088" s="85"/>
    </row>
    <row r="1089" spans="2:12" x14ac:dyDescent="0.25">
      <c r="B1089" s="84">
        <v>71295</v>
      </c>
      <c r="C1089" s="84"/>
      <c r="D1089" s="84"/>
      <c r="E1089" s="84"/>
      <c r="F1089" s="84"/>
      <c r="G1089" s="84"/>
      <c r="H1089" s="84"/>
      <c r="I1089" s="84"/>
      <c r="J1089" s="84"/>
      <c r="K1089" s="84"/>
      <c r="L1089" s="84"/>
    </row>
    <row r="1090" spans="2:12" x14ac:dyDescent="0.25">
      <c r="B1090" s="85">
        <v>71395</v>
      </c>
      <c r="C1090" s="85"/>
      <c r="D1090" s="85"/>
      <c r="E1090" s="85"/>
      <c r="F1090" s="85"/>
      <c r="G1090" s="85"/>
      <c r="H1090" s="85"/>
      <c r="I1090" s="85"/>
      <c r="J1090" s="85"/>
      <c r="K1090" s="85"/>
      <c r="L1090" s="85"/>
    </row>
    <row r="1091" spans="2:12" x14ac:dyDescent="0.25">
      <c r="B1091" s="84">
        <v>71495</v>
      </c>
      <c r="C1091" s="84"/>
      <c r="D1091" s="84"/>
      <c r="E1091" s="84"/>
      <c r="F1091" s="84"/>
      <c r="G1091" s="84"/>
      <c r="H1091" s="84"/>
      <c r="I1091" s="84"/>
      <c r="J1091" s="84"/>
      <c r="K1091" s="84"/>
      <c r="L1091" s="84"/>
    </row>
    <row r="1092" spans="2:12" x14ac:dyDescent="0.25">
      <c r="B1092" s="85">
        <v>71595</v>
      </c>
      <c r="C1092" s="85"/>
      <c r="D1092" s="85"/>
      <c r="E1092" s="85"/>
      <c r="F1092" s="85"/>
      <c r="G1092" s="85"/>
      <c r="H1092" s="85"/>
      <c r="I1092" s="85"/>
      <c r="J1092" s="85"/>
      <c r="K1092" s="85"/>
      <c r="L1092" s="85"/>
    </row>
    <row r="1093" spans="2:12" x14ac:dyDescent="0.25">
      <c r="B1093" s="84">
        <v>71695</v>
      </c>
      <c r="C1093" s="84"/>
      <c r="D1093" s="84"/>
      <c r="E1093" s="84"/>
      <c r="F1093" s="84"/>
      <c r="G1093" s="84"/>
      <c r="H1093" s="84"/>
      <c r="I1093" s="84"/>
      <c r="J1093" s="84"/>
      <c r="K1093" s="84"/>
      <c r="L1093" s="84"/>
    </row>
    <row r="1094" spans="2:12" x14ac:dyDescent="0.25">
      <c r="B1094" s="85">
        <v>71795</v>
      </c>
      <c r="C1094" s="85"/>
      <c r="D1094" s="85"/>
      <c r="E1094" s="85"/>
      <c r="F1094" s="85"/>
      <c r="G1094" s="85"/>
      <c r="H1094" s="85"/>
      <c r="I1094" s="85"/>
      <c r="J1094" s="85"/>
      <c r="K1094" s="85"/>
      <c r="L1094" s="85"/>
    </row>
  </sheetData>
  <mergeCells count="14">
    <mergeCell ref="Z4:AD4"/>
    <mergeCell ref="AE4:AG4"/>
    <mergeCell ref="B92:B93"/>
    <mergeCell ref="A6:B7"/>
    <mergeCell ref="A41:B41"/>
    <mergeCell ref="A42:B42"/>
    <mergeCell ref="A77:A86"/>
    <mergeCell ref="N82:Q84"/>
    <mergeCell ref="N77:Q78"/>
    <mergeCell ref="N79:Q80"/>
    <mergeCell ref="U4:U6"/>
    <mergeCell ref="V4:W4"/>
    <mergeCell ref="X4:Y4"/>
    <mergeCell ref="N87:Q88"/>
  </mergeCells>
  <phoneticPr fontId="56" type="noConversion"/>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7"/>
  <dimension ref="A1:BC102"/>
  <sheetViews>
    <sheetView zoomScale="85" zoomScaleNormal="85" workbookViewId="0">
      <selection activeCell="A3" sqref="A3"/>
    </sheetView>
  </sheetViews>
  <sheetFormatPr defaultColWidth="0" defaultRowHeight="15" zeroHeight="1" x14ac:dyDescent="0.25"/>
  <cols>
    <col min="1" max="46" width="5.5703125" customWidth="1"/>
    <col min="47" max="55" width="0" hidden="1" customWidth="1"/>
    <col min="56" max="16384" width="11.5703125" hidden="1"/>
  </cols>
  <sheetData>
    <row r="1" spans="1:55" x14ac:dyDescent="0.25">
      <c r="A1" s="81"/>
      <c r="B1" s="37"/>
      <c r="C1" s="37"/>
      <c r="D1" s="95"/>
      <c r="E1" s="95"/>
      <c r="F1" s="95"/>
      <c r="G1" s="95"/>
      <c r="H1" s="95"/>
      <c r="I1" s="95"/>
      <c r="J1" s="95"/>
      <c r="K1" s="95"/>
      <c r="L1" s="95"/>
      <c r="M1" s="95"/>
      <c r="N1" s="95"/>
      <c r="O1" s="95"/>
      <c r="P1" s="95"/>
      <c r="Q1" s="95"/>
      <c r="R1" s="95"/>
      <c r="S1" s="95"/>
      <c r="T1" s="95"/>
      <c r="U1" s="95"/>
      <c r="V1" s="95"/>
      <c r="W1" s="95"/>
      <c r="X1" s="95"/>
      <c r="Y1" s="95"/>
      <c r="Z1" s="95"/>
      <c r="AA1" s="95"/>
      <c r="AB1" s="95"/>
      <c r="AC1" s="95"/>
      <c r="AD1" s="95"/>
      <c r="AE1" s="95"/>
      <c r="AF1" s="95"/>
      <c r="AG1" s="95"/>
      <c r="AH1" s="95"/>
      <c r="AI1" s="95"/>
      <c r="AJ1" s="95"/>
      <c r="AK1" s="37"/>
      <c r="AL1" s="37"/>
      <c r="AM1" s="37"/>
      <c r="AN1" s="37"/>
      <c r="AO1" s="37"/>
      <c r="AP1" s="37"/>
      <c r="AQ1" s="37"/>
      <c r="AR1" s="37"/>
      <c r="AS1" s="37"/>
      <c r="AT1" s="37"/>
      <c r="AU1" s="37"/>
      <c r="AV1" s="37"/>
      <c r="AW1" s="37"/>
      <c r="AX1" s="37"/>
      <c r="AY1" s="37"/>
      <c r="AZ1" s="37"/>
      <c r="BA1" s="37"/>
      <c r="BB1" s="37"/>
      <c r="BC1" s="37"/>
    </row>
    <row r="2" spans="1:55" x14ac:dyDescent="0.25">
      <c r="A2" s="37"/>
      <c r="B2" s="37"/>
      <c r="C2" s="37"/>
      <c r="D2" s="95"/>
      <c r="E2" s="95"/>
      <c r="F2" s="95"/>
      <c r="G2" s="95"/>
      <c r="H2" s="95"/>
      <c r="I2" s="95"/>
      <c r="J2" s="95"/>
      <c r="K2" s="95"/>
      <c r="L2" s="95"/>
      <c r="M2" s="95"/>
      <c r="N2" s="95"/>
      <c r="O2" s="95"/>
      <c r="P2" s="95"/>
      <c r="Q2" s="95"/>
      <c r="R2" s="95"/>
      <c r="S2" s="95"/>
      <c r="T2" s="95"/>
      <c r="U2" s="95"/>
      <c r="V2" s="95"/>
      <c r="W2" s="95"/>
      <c r="X2" s="95"/>
      <c r="Y2" s="95"/>
      <c r="Z2" s="95"/>
      <c r="AA2" s="95"/>
      <c r="AB2" s="95"/>
      <c r="AC2" s="95"/>
      <c r="AD2" s="95"/>
      <c r="AE2" s="95"/>
      <c r="AF2" s="95"/>
      <c r="AG2" s="95"/>
      <c r="AH2" s="95"/>
      <c r="AI2" s="95"/>
      <c r="AJ2" s="95"/>
      <c r="AK2" s="37"/>
      <c r="AL2" s="37"/>
      <c r="AM2" s="37"/>
      <c r="AN2" s="37"/>
      <c r="AO2" s="37"/>
      <c r="AP2" s="37"/>
      <c r="AQ2" s="37"/>
      <c r="AR2" s="37"/>
      <c r="AS2" s="37"/>
      <c r="AT2" s="37"/>
      <c r="AU2" s="37"/>
      <c r="AV2" s="37"/>
      <c r="AW2" s="37"/>
      <c r="AX2" s="37"/>
      <c r="AY2" s="37"/>
      <c r="AZ2" s="37"/>
      <c r="BA2" s="37"/>
      <c r="BB2" s="37"/>
      <c r="BC2" s="37"/>
    </row>
    <row r="3" spans="1:55" x14ac:dyDescent="0.25">
      <c r="A3" s="87"/>
      <c r="B3" s="37"/>
      <c r="C3" s="37"/>
      <c r="D3" s="95"/>
      <c r="E3" s="95"/>
      <c r="F3" s="95"/>
      <c r="G3" s="95"/>
      <c r="H3" s="95"/>
      <c r="I3" s="95"/>
      <c r="J3" s="95"/>
      <c r="K3" s="95"/>
      <c r="L3" s="95"/>
      <c r="M3" s="95"/>
      <c r="N3" s="95"/>
      <c r="O3" s="95"/>
      <c r="P3" s="95"/>
      <c r="Q3" s="95"/>
      <c r="R3" s="95"/>
      <c r="S3" s="95"/>
      <c r="T3" s="95"/>
      <c r="U3" s="95"/>
      <c r="V3" s="95"/>
      <c r="W3" s="95"/>
      <c r="X3" s="95"/>
      <c r="Y3" s="95"/>
      <c r="Z3" s="95"/>
      <c r="AA3" s="95"/>
      <c r="AB3" s="95"/>
      <c r="AC3" s="95"/>
      <c r="AD3" s="95"/>
      <c r="AE3" s="95"/>
      <c r="AF3" s="95"/>
      <c r="AG3" s="95"/>
      <c r="AH3" s="95"/>
      <c r="AI3" s="95"/>
      <c r="AJ3" s="95"/>
      <c r="AK3" s="37"/>
      <c r="AL3" s="37"/>
      <c r="AM3" s="37"/>
      <c r="AN3" s="37"/>
      <c r="AO3" s="37"/>
      <c r="AP3" s="37"/>
      <c r="AQ3" s="37"/>
      <c r="AR3" s="37"/>
      <c r="AS3" s="37"/>
      <c r="AT3" s="37"/>
      <c r="AU3" s="37"/>
      <c r="AV3" s="37"/>
      <c r="AW3" s="37"/>
      <c r="AX3" s="37"/>
      <c r="AY3" s="37"/>
      <c r="AZ3" s="37"/>
      <c r="BA3" s="37"/>
      <c r="BB3" s="37"/>
      <c r="BC3" s="37"/>
    </row>
    <row r="4" spans="1:55" x14ac:dyDescent="0.25">
      <c r="M4" s="95"/>
      <c r="N4" s="95"/>
      <c r="O4" s="95"/>
      <c r="P4" s="95"/>
      <c r="Q4" s="95"/>
      <c r="R4" s="95"/>
      <c r="S4" s="95"/>
      <c r="T4" s="95"/>
      <c r="U4" s="95"/>
      <c r="V4" s="95"/>
      <c r="W4" s="95"/>
      <c r="X4" s="95"/>
      <c r="Y4" s="95"/>
      <c r="Z4" s="95"/>
      <c r="AA4" s="95"/>
      <c r="AB4" s="95"/>
      <c r="AC4" s="95"/>
      <c r="AD4" s="95"/>
      <c r="AE4" s="95"/>
      <c r="AF4" s="95"/>
      <c r="AG4" s="95"/>
      <c r="AH4" s="95"/>
      <c r="AI4" s="95"/>
      <c r="AJ4" s="95"/>
      <c r="AK4" s="37"/>
      <c r="AL4" s="37"/>
      <c r="AM4" s="37"/>
      <c r="AN4" s="37"/>
      <c r="AO4" s="37"/>
      <c r="AP4" s="37"/>
      <c r="AQ4" s="37"/>
      <c r="AR4" s="37"/>
      <c r="AS4" s="37"/>
      <c r="AT4" s="37"/>
      <c r="AU4" s="37"/>
      <c r="AV4" s="37"/>
      <c r="AW4" s="37"/>
      <c r="AX4" s="37"/>
      <c r="AY4" s="37"/>
      <c r="AZ4" s="37"/>
      <c r="BA4" s="37"/>
      <c r="BB4" s="37"/>
      <c r="BC4" s="37"/>
    </row>
    <row r="5" spans="1:55" x14ac:dyDescent="0.25">
      <c r="M5" s="37"/>
      <c r="N5" s="95"/>
      <c r="O5" s="95"/>
      <c r="P5" s="95"/>
      <c r="Q5" s="95"/>
      <c r="R5" s="95"/>
      <c r="S5" s="95"/>
      <c r="T5" s="95"/>
      <c r="U5" s="95"/>
      <c r="V5" s="95"/>
      <c r="W5" s="95"/>
      <c r="X5" s="95"/>
      <c r="Y5" s="95"/>
      <c r="Z5" s="95"/>
      <c r="AA5" s="95"/>
      <c r="AB5" s="95"/>
      <c r="AC5" s="95"/>
      <c r="AD5" s="95"/>
      <c r="AE5" s="95"/>
      <c r="AF5" s="95"/>
      <c r="AG5" s="95"/>
      <c r="AH5" s="95"/>
      <c r="AI5" s="95"/>
      <c r="AJ5" s="95"/>
      <c r="AK5" s="37"/>
      <c r="AL5" s="37"/>
      <c r="AM5" s="37"/>
      <c r="AN5" s="37"/>
      <c r="AO5" s="37"/>
      <c r="AP5" s="37"/>
      <c r="AQ5" s="37"/>
      <c r="AR5" s="37"/>
      <c r="AS5" s="37"/>
      <c r="AT5" s="37"/>
      <c r="AU5" s="37"/>
      <c r="AV5" s="37"/>
      <c r="AW5" s="37"/>
      <c r="AX5" s="37"/>
      <c r="AY5" s="37"/>
      <c r="AZ5" s="37"/>
      <c r="BA5" s="37"/>
      <c r="BB5" s="37"/>
      <c r="BC5" s="37"/>
    </row>
    <row r="6" spans="1:55" x14ac:dyDescent="0.25">
      <c r="M6" s="96"/>
      <c r="N6" s="95"/>
      <c r="O6" s="95"/>
      <c r="P6" s="95"/>
      <c r="Q6" s="95"/>
      <c r="R6" s="95"/>
      <c r="S6" s="95"/>
      <c r="T6" s="95"/>
      <c r="U6" s="95"/>
      <c r="V6" s="95"/>
      <c r="W6" s="95"/>
      <c r="X6" s="95"/>
      <c r="Y6" s="95"/>
      <c r="Z6" s="95"/>
      <c r="AA6" s="95"/>
      <c r="AB6" s="95"/>
      <c r="AC6" s="95"/>
      <c r="AD6" s="95"/>
      <c r="AE6" s="95"/>
      <c r="AF6" s="95"/>
      <c r="AG6" s="95"/>
      <c r="AH6" s="95"/>
      <c r="AI6" s="95"/>
      <c r="AJ6" s="95"/>
      <c r="AK6" s="37"/>
      <c r="AL6" s="37"/>
      <c r="AM6" s="37"/>
      <c r="AN6" s="37"/>
      <c r="AO6" s="37"/>
      <c r="AP6" s="37"/>
      <c r="AQ6" s="37"/>
      <c r="AR6" s="37"/>
      <c r="AS6" s="37"/>
      <c r="AT6" s="37"/>
      <c r="AU6" s="37"/>
      <c r="AV6" s="37"/>
      <c r="AW6" s="37"/>
      <c r="AX6" s="37"/>
      <c r="AY6" s="37"/>
      <c r="AZ6" s="37"/>
      <c r="BA6" s="37"/>
      <c r="BB6" s="37"/>
      <c r="BC6" s="37"/>
    </row>
    <row r="7" spans="1:55" x14ac:dyDescent="0.25">
      <c r="M7" s="97"/>
      <c r="N7" s="95"/>
      <c r="O7" s="95"/>
      <c r="P7" s="95"/>
      <c r="Q7" s="95"/>
      <c r="R7" s="95"/>
      <c r="S7" s="95"/>
      <c r="T7" s="95"/>
      <c r="U7" s="95"/>
      <c r="V7" s="95"/>
      <c r="W7" s="95"/>
      <c r="X7" s="95"/>
      <c r="Y7" s="95"/>
      <c r="Z7" s="95"/>
      <c r="AA7" s="95"/>
      <c r="AB7" s="95"/>
      <c r="AC7" s="95"/>
      <c r="AD7" s="95"/>
      <c r="AE7" s="95"/>
      <c r="AF7" s="95"/>
      <c r="AG7" s="95"/>
      <c r="AH7" s="95"/>
      <c r="AI7" s="95"/>
      <c r="AJ7" s="95"/>
      <c r="AK7" s="37"/>
      <c r="AL7" s="37"/>
      <c r="AM7" s="37"/>
      <c r="AN7" s="37"/>
      <c r="AO7" s="37"/>
      <c r="AP7" s="37"/>
      <c r="AQ7" s="37"/>
      <c r="AR7" s="37"/>
      <c r="AS7" s="37"/>
      <c r="AT7" s="37"/>
      <c r="AU7" s="37"/>
      <c r="AV7" s="37"/>
      <c r="AW7" s="37"/>
      <c r="AX7" s="37"/>
      <c r="AY7" s="37"/>
      <c r="AZ7" s="37"/>
      <c r="BA7" s="37"/>
      <c r="BB7" s="37"/>
      <c r="BC7" s="37"/>
    </row>
    <row r="8" spans="1:55" x14ac:dyDescent="0.25">
      <c r="M8" s="97"/>
      <c r="N8" s="95"/>
      <c r="O8" s="95"/>
      <c r="P8" s="95"/>
      <c r="Q8" s="95"/>
      <c r="R8" s="95"/>
      <c r="S8" s="95"/>
      <c r="T8" s="95"/>
      <c r="U8" s="95"/>
      <c r="V8" s="95"/>
      <c r="W8" s="95"/>
      <c r="X8" s="95"/>
      <c r="Y8" s="95"/>
      <c r="Z8" s="95"/>
      <c r="AA8" s="95"/>
      <c r="AB8" s="95"/>
      <c r="AC8" s="95"/>
      <c r="AD8" s="95"/>
      <c r="AE8" s="95"/>
      <c r="AF8" s="95"/>
      <c r="AG8" s="95"/>
      <c r="AH8" s="95"/>
      <c r="AI8" s="95"/>
      <c r="AJ8" s="95"/>
      <c r="AK8" s="37"/>
      <c r="AL8" s="37"/>
      <c r="AM8" s="37"/>
      <c r="AN8" s="37"/>
      <c r="AO8" s="37"/>
      <c r="AP8" s="37"/>
      <c r="AQ8" s="37"/>
      <c r="AR8" s="37"/>
      <c r="AS8" s="37"/>
      <c r="AT8" s="37"/>
      <c r="AU8" s="37"/>
      <c r="AV8" s="37"/>
      <c r="AW8" s="37"/>
      <c r="AX8" s="37"/>
      <c r="AY8" s="37"/>
      <c r="AZ8" s="37"/>
      <c r="BA8" s="37"/>
      <c r="BB8" s="37"/>
      <c r="BC8" s="37"/>
    </row>
    <row r="9" spans="1:55" x14ac:dyDescent="0.25">
      <c r="M9" s="37"/>
      <c r="N9" s="95"/>
      <c r="O9" s="95"/>
      <c r="P9" s="95"/>
      <c r="Q9" s="95"/>
      <c r="R9" s="95"/>
      <c r="S9" s="95"/>
      <c r="T9" s="95"/>
      <c r="U9" s="95"/>
      <c r="V9" s="95"/>
      <c r="W9" s="95"/>
      <c r="X9" s="95"/>
      <c r="Y9" s="95"/>
      <c r="Z9" s="95"/>
      <c r="AA9" s="95"/>
      <c r="AB9" s="95"/>
      <c r="AC9" s="95"/>
      <c r="AD9" s="95"/>
      <c r="AE9" s="95"/>
      <c r="AF9" s="95"/>
      <c r="AG9" s="95"/>
      <c r="AH9" s="95"/>
      <c r="AI9" s="95"/>
      <c r="AJ9" s="95"/>
      <c r="AK9" s="37"/>
      <c r="AL9" s="37"/>
      <c r="AM9" s="37"/>
      <c r="AN9" s="37"/>
      <c r="AO9" s="37"/>
      <c r="AP9" s="37"/>
      <c r="AQ9" s="37"/>
      <c r="AR9" s="37"/>
      <c r="AS9" s="37"/>
      <c r="AT9" s="37"/>
      <c r="AU9" s="37"/>
      <c r="AV9" s="37"/>
      <c r="AW9" s="37"/>
      <c r="AX9" s="37"/>
      <c r="AY9" s="37"/>
      <c r="AZ9" s="37"/>
      <c r="BA9" s="37"/>
      <c r="BB9" s="37"/>
      <c r="BC9" s="37"/>
    </row>
    <row r="10" spans="1:55" x14ac:dyDescent="0.25">
      <c r="M10" s="98"/>
      <c r="N10" s="95"/>
      <c r="O10" s="95"/>
      <c r="P10" s="95"/>
      <c r="Q10" s="95"/>
      <c r="R10" s="95"/>
      <c r="S10" s="95"/>
      <c r="T10" s="95"/>
      <c r="U10" s="95"/>
      <c r="V10" s="95"/>
      <c r="W10" s="95"/>
      <c r="X10" s="95"/>
      <c r="Y10" s="95"/>
      <c r="Z10" s="95"/>
      <c r="AA10" s="95"/>
      <c r="AB10" s="95"/>
      <c r="AC10" s="95"/>
      <c r="AD10" s="95"/>
      <c r="AE10" s="95"/>
      <c r="AF10" s="95"/>
      <c r="AG10" s="95"/>
      <c r="AH10" s="95"/>
      <c r="AI10" s="95"/>
      <c r="AJ10" s="95"/>
      <c r="AK10" s="37"/>
      <c r="AL10" s="37"/>
      <c r="AM10" s="37"/>
      <c r="AN10" s="37"/>
      <c r="AO10" s="37"/>
      <c r="AP10" s="37"/>
      <c r="AQ10" s="37"/>
      <c r="AR10" s="37"/>
      <c r="AS10" s="37"/>
      <c r="AT10" s="37"/>
      <c r="AU10" s="37"/>
      <c r="AV10" s="37"/>
      <c r="AW10" s="37"/>
      <c r="AX10" s="37"/>
      <c r="AY10" s="37"/>
      <c r="AZ10" s="37"/>
      <c r="BA10" s="37"/>
      <c r="BB10" s="37"/>
      <c r="BC10" s="37"/>
    </row>
    <row r="11" spans="1:55" x14ac:dyDescent="0.25">
      <c r="M11" s="99"/>
      <c r="N11" s="95"/>
      <c r="O11" s="95"/>
      <c r="P11" s="95"/>
      <c r="Q11" s="95"/>
      <c r="R11" s="95"/>
      <c r="S11" s="95"/>
      <c r="T11" s="95"/>
      <c r="U11" s="95"/>
      <c r="V11" s="95"/>
      <c r="W11" s="95"/>
      <c r="X11" s="95"/>
      <c r="Y11" s="95"/>
      <c r="Z11" s="95"/>
      <c r="AA11" s="95"/>
      <c r="AB11" s="95"/>
      <c r="AC11" s="95"/>
      <c r="AD11" s="95"/>
      <c r="AE11" s="95"/>
      <c r="AF11" s="95"/>
      <c r="AG11" s="95"/>
      <c r="AH11" s="95"/>
      <c r="AI11" s="95"/>
      <c r="AJ11" s="95"/>
      <c r="AK11" s="37"/>
      <c r="AL11" s="37"/>
      <c r="AM11" s="37"/>
      <c r="AN11" s="37"/>
      <c r="AO11" s="37"/>
      <c r="AP11" s="37"/>
      <c r="AQ11" s="37"/>
      <c r="AR11" s="37"/>
      <c r="AS11" s="37"/>
      <c r="AT11" s="37"/>
      <c r="AU11" s="37"/>
      <c r="AV11" s="37"/>
      <c r="AW11" s="37"/>
      <c r="AX11" s="37"/>
      <c r="AY11" s="37"/>
      <c r="AZ11" s="37"/>
      <c r="BA11" s="37"/>
      <c r="BB11" s="37"/>
      <c r="BC11" s="37"/>
    </row>
    <row r="12" spans="1:55" x14ac:dyDescent="0.25">
      <c r="M12" s="99"/>
      <c r="N12" s="95"/>
      <c r="O12" s="95"/>
      <c r="P12" s="95"/>
      <c r="Q12" s="95"/>
      <c r="R12" s="95"/>
      <c r="S12" s="95"/>
      <c r="T12" s="95"/>
      <c r="U12" s="95"/>
      <c r="V12" s="95"/>
      <c r="W12" s="95"/>
      <c r="X12" s="95"/>
      <c r="Y12" s="95"/>
      <c r="Z12" s="95"/>
      <c r="AA12" s="95"/>
      <c r="AB12" s="95"/>
      <c r="AC12" s="95"/>
      <c r="AD12" s="95"/>
      <c r="AE12" s="95"/>
      <c r="AF12" s="95"/>
      <c r="AG12" s="95"/>
      <c r="AH12" s="95"/>
      <c r="AI12" s="95"/>
      <c r="AJ12" s="95"/>
      <c r="AK12" s="37"/>
      <c r="AL12" s="37"/>
      <c r="AM12" s="37"/>
      <c r="AN12" s="37"/>
      <c r="AO12" s="37"/>
      <c r="AP12" s="37"/>
      <c r="AQ12" s="37"/>
      <c r="AR12" s="37"/>
      <c r="AS12" s="37"/>
      <c r="AT12" s="37"/>
      <c r="AU12" s="37"/>
      <c r="AV12" s="37"/>
      <c r="AW12" s="37"/>
      <c r="AX12" s="37"/>
      <c r="AY12" s="37"/>
      <c r="AZ12" s="37"/>
      <c r="BA12" s="37"/>
      <c r="BB12" s="37"/>
      <c r="BC12" s="37"/>
    </row>
    <row r="13" spans="1:55" x14ac:dyDescent="0.25">
      <c r="M13" s="99"/>
      <c r="N13" s="95"/>
      <c r="O13" s="95"/>
      <c r="P13" s="95"/>
      <c r="Q13" s="95"/>
      <c r="R13" s="95"/>
      <c r="S13" s="95"/>
      <c r="T13" s="95"/>
      <c r="U13" s="95"/>
      <c r="V13" s="95"/>
      <c r="W13" s="95"/>
      <c r="X13" s="95"/>
      <c r="Y13" s="95"/>
      <c r="Z13" s="95"/>
      <c r="AA13" s="95"/>
      <c r="AB13" s="95"/>
      <c r="AC13" s="95"/>
      <c r="AD13" s="95"/>
      <c r="AE13" s="95"/>
      <c r="AF13" s="95"/>
      <c r="AG13" s="95"/>
      <c r="AH13" s="95"/>
      <c r="AI13" s="95"/>
      <c r="AJ13" s="95"/>
      <c r="AK13" s="37"/>
      <c r="AL13" s="37"/>
      <c r="AM13" s="37"/>
      <c r="AN13" s="37"/>
      <c r="AO13" s="37"/>
      <c r="AP13" s="37"/>
      <c r="AQ13" s="37"/>
      <c r="AR13" s="37"/>
      <c r="AS13" s="37"/>
      <c r="AT13" s="37"/>
      <c r="AU13" s="37"/>
      <c r="AV13" s="37"/>
      <c r="AW13" s="37"/>
      <c r="AX13" s="37"/>
      <c r="AY13" s="37"/>
      <c r="AZ13" s="37"/>
      <c r="BA13" s="37"/>
      <c r="BB13" s="37"/>
      <c r="BC13" s="37"/>
    </row>
    <row r="14" spans="1:55" x14ac:dyDescent="0.25">
      <c r="M14" s="99"/>
      <c r="N14" s="95"/>
      <c r="O14" s="95"/>
      <c r="P14" s="95"/>
      <c r="Q14" s="95"/>
      <c r="R14" s="95"/>
      <c r="S14" s="95"/>
      <c r="T14" s="95"/>
      <c r="U14" s="95"/>
      <c r="V14" s="95"/>
      <c r="W14" s="95"/>
      <c r="X14" s="95"/>
      <c r="Y14" s="95"/>
      <c r="Z14" s="95"/>
      <c r="AA14" s="95"/>
      <c r="AB14" s="95"/>
      <c r="AC14" s="95"/>
      <c r="AD14" s="95"/>
      <c r="AE14" s="95"/>
      <c r="AF14" s="95"/>
      <c r="AG14" s="95"/>
      <c r="AH14" s="95"/>
      <c r="AI14" s="95"/>
      <c r="AJ14" s="95"/>
      <c r="AK14" s="37"/>
      <c r="AL14" s="37"/>
      <c r="AM14" s="37"/>
      <c r="AN14" s="37"/>
      <c r="AO14" s="37"/>
      <c r="AP14" s="37"/>
      <c r="AQ14" s="37"/>
      <c r="AR14" s="37"/>
      <c r="AS14" s="37"/>
      <c r="AT14" s="37"/>
      <c r="AU14" s="37"/>
      <c r="AV14" s="37"/>
      <c r="AW14" s="37"/>
      <c r="AX14" s="37"/>
      <c r="AY14" s="37"/>
      <c r="AZ14" s="37"/>
      <c r="BA14" s="37"/>
      <c r="BB14" s="37"/>
      <c r="BC14" s="37"/>
    </row>
    <row r="15" spans="1:55" x14ac:dyDescent="0.25">
      <c r="M15" s="99"/>
      <c r="N15" s="95"/>
      <c r="O15" s="95"/>
      <c r="P15" s="95"/>
      <c r="Q15" s="95"/>
      <c r="R15" s="95"/>
      <c r="S15" s="95"/>
      <c r="T15" s="95"/>
      <c r="U15" s="95"/>
      <c r="V15" s="95"/>
      <c r="W15" s="95"/>
      <c r="X15" s="95"/>
      <c r="Y15" s="95"/>
      <c r="Z15" s="95"/>
      <c r="AA15" s="95"/>
      <c r="AB15" s="95"/>
      <c r="AC15" s="95"/>
      <c r="AD15" s="95"/>
      <c r="AE15" s="95"/>
      <c r="AF15" s="95"/>
      <c r="AG15" s="95"/>
      <c r="AH15" s="95"/>
      <c r="AI15" s="95"/>
      <c r="AJ15" s="95"/>
      <c r="AK15" s="37"/>
      <c r="AL15" s="37"/>
      <c r="AM15" s="37"/>
      <c r="AN15" s="37"/>
      <c r="AO15" s="37"/>
      <c r="AP15" s="37"/>
      <c r="AQ15" s="37"/>
      <c r="AR15" s="37"/>
      <c r="AS15" s="37"/>
      <c r="AT15" s="37"/>
      <c r="AU15" s="37"/>
      <c r="AV15" s="37"/>
      <c r="AW15" s="37"/>
      <c r="AX15" s="37"/>
      <c r="AY15" s="37"/>
      <c r="AZ15" s="37"/>
      <c r="BA15" s="37"/>
      <c r="BB15" s="37"/>
      <c r="BC15" s="37"/>
    </row>
    <row r="16" spans="1:55" x14ac:dyDescent="0.25">
      <c r="M16" s="99"/>
      <c r="N16" s="95"/>
      <c r="O16" s="95"/>
      <c r="P16" s="95"/>
      <c r="Q16" s="95"/>
      <c r="R16" s="95"/>
      <c r="S16" s="95"/>
      <c r="T16" s="95"/>
      <c r="U16" s="95"/>
      <c r="V16" s="95"/>
      <c r="W16" s="95"/>
      <c r="X16" s="95"/>
      <c r="Y16" s="95"/>
      <c r="Z16" s="95"/>
      <c r="AA16" s="95"/>
      <c r="AB16" s="95"/>
      <c r="AC16" s="95"/>
      <c r="AD16" s="95"/>
      <c r="AE16" s="95"/>
      <c r="AF16" s="95"/>
      <c r="AG16" s="95"/>
      <c r="AH16" s="95"/>
      <c r="AI16" s="95"/>
      <c r="AJ16" s="95"/>
      <c r="AK16" s="37"/>
      <c r="AL16" s="37"/>
      <c r="AM16" s="37"/>
      <c r="AN16" s="37"/>
      <c r="AO16" s="37"/>
      <c r="AP16" s="37"/>
      <c r="AQ16" s="37"/>
      <c r="AR16" s="37"/>
      <c r="AS16" s="37"/>
      <c r="AT16" s="37"/>
      <c r="AU16" s="37"/>
      <c r="AV16" s="37"/>
      <c r="AW16" s="37"/>
      <c r="AX16" s="37"/>
      <c r="AY16" s="37"/>
      <c r="AZ16" s="37"/>
      <c r="BA16" s="37"/>
      <c r="BB16" s="37"/>
      <c r="BC16" s="37"/>
    </row>
    <row r="17" spans="13:55" x14ac:dyDescent="0.25">
      <c r="M17" s="99"/>
      <c r="N17" s="95"/>
      <c r="O17" s="95"/>
      <c r="P17" s="95"/>
      <c r="Q17" s="95"/>
      <c r="R17" s="95"/>
      <c r="S17" s="95"/>
      <c r="T17" s="95"/>
      <c r="U17" s="95"/>
      <c r="V17" s="95"/>
      <c r="W17" s="95"/>
      <c r="X17" s="95"/>
      <c r="Y17" s="95"/>
      <c r="Z17" s="95"/>
      <c r="AA17" s="95"/>
      <c r="AB17" s="95"/>
      <c r="AC17" s="95"/>
      <c r="AD17" s="95"/>
      <c r="AE17" s="95"/>
      <c r="AF17" s="95"/>
      <c r="AG17" s="95"/>
      <c r="AH17" s="95"/>
      <c r="AI17" s="95"/>
      <c r="AJ17" s="95"/>
      <c r="AK17" s="37"/>
      <c r="AL17" s="37"/>
      <c r="AM17" s="37"/>
      <c r="AN17" s="37"/>
      <c r="AO17" s="37"/>
      <c r="AP17" s="37"/>
      <c r="AQ17" s="37"/>
      <c r="AR17" s="37"/>
      <c r="AS17" s="37"/>
      <c r="AT17" s="37"/>
      <c r="AU17" s="37"/>
      <c r="AV17" s="37"/>
      <c r="AW17" s="37"/>
      <c r="AX17" s="37"/>
      <c r="AY17" s="37"/>
      <c r="AZ17" s="37"/>
      <c r="BA17" s="37"/>
      <c r="BB17" s="37"/>
      <c r="BC17" s="37"/>
    </row>
    <row r="18" spans="13:55" x14ac:dyDescent="0.25">
      <c r="M18" s="99"/>
      <c r="N18" s="95"/>
      <c r="O18" s="95"/>
      <c r="P18" s="95"/>
      <c r="Q18" s="95"/>
      <c r="R18" s="95"/>
      <c r="S18" s="95"/>
      <c r="T18" s="95"/>
      <c r="U18" s="95"/>
      <c r="V18" s="95"/>
      <c r="W18" s="95"/>
      <c r="X18" s="95"/>
      <c r="Y18" s="95"/>
      <c r="Z18" s="95"/>
      <c r="AA18" s="95"/>
      <c r="AB18" s="95"/>
      <c r="AC18" s="95"/>
      <c r="AD18" s="95"/>
      <c r="AE18" s="95"/>
      <c r="AF18" s="95"/>
      <c r="AG18" s="95"/>
      <c r="AH18" s="95"/>
      <c r="AI18" s="95"/>
      <c r="AJ18" s="95"/>
      <c r="AK18" s="37"/>
      <c r="AL18" s="37"/>
      <c r="AM18" s="37"/>
      <c r="AN18" s="37"/>
      <c r="AO18" s="37"/>
      <c r="AP18" s="37"/>
      <c r="AQ18" s="37"/>
      <c r="AR18" s="37"/>
      <c r="AS18" s="37"/>
      <c r="AT18" s="37"/>
      <c r="AU18" s="37"/>
      <c r="AV18" s="37"/>
      <c r="AW18" s="37"/>
      <c r="AX18" s="37"/>
      <c r="AY18" s="37"/>
      <c r="AZ18" s="37"/>
      <c r="BA18" s="37"/>
      <c r="BB18" s="37"/>
      <c r="BC18" s="37"/>
    </row>
    <row r="19" spans="13:55" x14ac:dyDescent="0.25">
      <c r="M19" s="99"/>
      <c r="N19" s="95"/>
      <c r="O19" s="95"/>
      <c r="P19" s="95"/>
      <c r="Q19" s="95"/>
      <c r="R19" s="95"/>
      <c r="S19" s="95"/>
      <c r="T19" s="95"/>
      <c r="U19" s="95"/>
      <c r="V19" s="95"/>
      <c r="W19" s="95"/>
      <c r="X19" s="95"/>
      <c r="Y19" s="95"/>
      <c r="Z19" s="95"/>
      <c r="AA19" s="95"/>
      <c r="AB19" s="95"/>
      <c r="AC19" s="95"/>
      <c r="AD19" s="95"/>
      <c r="AE19" s="95"/>
      <c r="AF19" s="95"/>
      <c r="AG19" s="95"/>
      <c r="AH19" s="95"/>
      <c r="AI19" s="95"/>
      <c r="AJ19" s="95"/>
      <c r="AK19" s="37"/>
      <c r="AL19" s="37"/>
      <c r="AM19" s="37"/>
      <c r="AN19" s="37"/>
      <c r="AO19" s="37"/>
      <c r="AP19" s="37"/>
      <c r="AQ19" s="37"/>
      <c r="AR19" s="37"/>
      <c r="AS19" s="37"/>
      <c r="AT19" s="37"/>
      <c r="AU19" s="37"/>
      <c r="AV19" s="37"/>
      <c r="AW19" s="37"/>
      <c r="AX19" s="37"/>
      <c r="AY19" s="37"/>
      <c r="AZ19" s="37"/>
      <c r="BA19" s="37"/>
      <c r="BB19" s="37"/>
      <c r="BC19" s="37"/>
    </row>
    <row r="20" spans="13:55" x14ac:dyDescent="0.25">
      <c r="M20" s="99"/>
      <c r="N20" s="95"/>
      <c r="O20" s="95"/>
      <c r="P20" s="95"/>
      <c r="Q20" s="95"/>
      <c r="R20" s="95"/>
      <c r="S20" s="95"/>
      <c r="T20" s="95"/>
      <c r="U20" s="95"/>
      <c r="V20" s="95"/>
      <c r="W20" s="95"/>
      <c r="X20" s="95"/>
      <c r="Y20" s="95"/>
      <c r="Z20" s="95"/>
      <c r="AA20" s="95"/>
      <c r="AB20" s="95"/>
      <c r="AC20" s="95"/>
      <c r="AD20" s="95"/>
      <c r="AE20" s="95"/>
      <c r="AF20" s="95"/>
      <c r="AG20" s="95"/>
      <c r="AH20" s="95"/>
      <c r="AI20" s="95"/>
      <c r="AJ20" s="95"/>
      <c r="AK20" s="37"/>
      <c r="AL20" s="37"/>
      <c r="AM20" s="37"/>
      <c r="AN20" s="37"/>
      <c r="AO20" s="37"/>
      <c r="AP20" s="37"/>
      <c r="AQ20" s="37"/>
      <c r="AR20" s="37"/>
      <c r="AS20" s="37"/>
      <c r="AT20" s="37"/>
      <c r="AU20" s="37"/>
      <c r="AV20" s="37"/>
      <c r="AW20" s="37"/>
      <c r="AX20" s="37"/>
      <c r="AY20" s="37"/>
      <c r="AZ20" s="37"/>
      <c r="BA20" s="37"/>
      <c r="BB20" s="37"/>
      <c r="BC20" s="37"/>
    </row>
    <row r="21" spans="13:55" x14ac:dyDescent="0.25">
      <c r="M21" s="99"/>
      <c r="N21" s="95"/>
      <c r="O21" s="95"/>
      <c r="P21" s="95"/>
      <c r="Q21" s="95"/>
      <c r="R21" s="95"/>
      <c r="S21" s="95"/>
      <c r="T21" s="95"/>
      <c r="U21" s="95"/>
      <c r="V21" s="95"/>
      <c r="W21" s="95"/>
      <c r="X21" s="95"/>
      <c r="Y21" s="95"/>
      <c r="Z21" s="95"/>
      <c r="AA21" s="95"/>
      <c r="AB21" s="95"/>
      <c r="AC21" s="95"/>
      <c r="AD21" s="95"/>
      <c r="AE21" s="95"/>
      <c r="AF21" s="95"/>
      <c r="AG21" s="95"/>
      <c r="AH21" s="95"/>
      <c r="AI21" s="95"/>
      <c r="AJ21" s="95"/>
      <c r="AK21" s="37"/>
      <c r="AL21" s="37"/>
      <c r="AM21" s="37"/>
      <c r="AN21" s="37"/>
      <c r="AO21" s="37"/>
      <c r="AP21" s="37"/>
      <c r="AQ21" s="37"/>
      <c r="AR21" s="37"/>
      <c r="AS21" s="37"/>
      <c r="AT21" s="37"/>
      <c r="AU21" s="37"/>
      <c r="AV21" s="37"/>
      <c r="AW21" s="37"/>
      <c r="AX21" s="37"/>
      <c r="AY21" s="37"/>
      <c r="AZ21" s="37"/>
      <c r="BA21" s="37"/>
      <c r="BB21" s="37"/>
      <c r="BC21" s="37"/>
    </row>
    <row r="22" spans="13:55" x14ac:dyDescent="0.25">
      <c r="M22" s="99"/>
      <c r="N22" s="95"/>
      <c r="O22" s="95"/>
      <c r="P22" s="95"/>
      <c r="Q22" s="95"/>
      <c r="R22" s="95"/>
      <c r="S22" s="95"/>
      <c r="T22" s="95"/>
      <c r="U22" s="95"/>
      <c r="V22" s="95"/>
      <c r="W22" s="95"/>
      <c r="X22" s="95"/>
      <c r="Y22" s="95"/>
      <c r="Z22" s="95"/>
      <c r="AA22" s="95"/>
      <c r="AB22" s="95"/>
      <c r="AC22" s="95"/>
      <c r="AD22" s="95"/>
      <c r="AE22" s="95"/>
      <c r="AF22" s="95"/>
      <c r="AG22" s="95"/>
      <c r="AH22" s="95"/>
      <c r="AI22" s="95"/>
      <c r="AJ22" s="95"/>
      <c r="AK22" s="37"/>
      <c r="AL22" s="37"/>
      <c r="AM22" s="37"/>
      <c r="AN22" s="37"/>
      <c r="AO22" s="37"/>
      <c r="AP22" s="37"/>
      <c r="AQ22" s="37"/>
      <c r="AR22" s="37"/>
      <c r="AS22" s="37"/>
      <c r="AT22" s="37"/>
      <c r="AU22" s="37"/>
      <c r="AV22" s="37"/>
      <c r="AW22" s="37"/>
      <c r="AX22" s="37"/>
      <c r="AY22" s="37"/>
      <c r="AZ22" s="37"/>
      <c r="BA22" s="37"/>
      <c r="BB22" s="37"/>
      <c r="BC22" s="37"/>
    </row>
    <row r="23" spans="13:55" x14ac:dyDescent="0.25">
      <c r="M23" s="95"/>
      <c r="N23" s="95"/>
      <c r="O23" s="95"/>
      <c r="P23" s="95"/>
      <c r="Q23" s="95"/>
      <c r="R23" s="95"/>
      <c r="S23" s="95"/>
      <c r="T23" s="95"/>
      <c r="U23" s="95"/>
      <c r="V23" s="95"/>
      <c r="W23" s="95"/>
      <c r="X23" s="95"/>
      <c r="Y23" s="95"/>
      <c r="Z23" s="95"/>
      <c r="AA23" s="95"/>
      <c r="AB23" s="95"/>
      <c r="AC23" s="95"/>
      <c r="AD23" s="95"/>
      <c r="AE23" s="95"/>
      <c r="AF23" s="95"/>
      <c r="AG23" s="95"/>
      <c r="AH23" s="95"/>
      <c r="AI23" s="95"/>
      <c r="AJ23" s="95"/>
      <c r="AK23" s="37"/>
      <c r="AL23" s="37"/>
      <c r="AM23" s="37"/>
      <c r="AN23" s="37"/>
      <c r="AO23" s="37"/>
      <c r="AP23" s="37"/>
      <c r="AQ23" s="37"/>
      <c r="AR23" s="37"/>
      <c r="AS23" s="37"/>
      <c r="AT23" s="37"/>
      <c r="AU23" s="37"/>
      <c r="AV23" s="37"/>
      <c r="AW23" s="37"/>
      <c r="AX23" s="37"/>
      <c r="AY23" s="37"/>
      <c r="AZ23" s="37"/>
      <c r="BA23" s="37"/>
      <c r="BB23" s="37"/>
      <c r="BC23" s="37"/>
    </row>
    <row r="24" spans="13:55" x14ac:dyDescent="0.25">
      <c r="M24" s="95"/>
      <c r="N24" s="95"/>
      <c r="O24" s="95"/>
      <c r="P24" s="95"/>
      <c r="Q24" s="95"/>
      <c r="R24" s="95"/>
      <c r="S24" s="95"/>
      <c r="T24" s="95"/>
      <c r="U24" s="95"/>
      <c r="V24" s="95"/>
      <c r="W24" s="95"/>
      <c r="X24" s="95"/>
      <c r="Y24" s="95"/>
      <c r="Z24" s="95"/>
      <c r="AA24" s="95"/>
      <c r="AB24" s="95"/>
      <c r="AC24" s="95"/>
      <c r="AD24" s="95"/>
      <c r="AE24" s="95"/>
      <c r="AF24" s="95"/>
      <c r="AG24" s="95"/>
      <c r="AH24" s="95"/>
      <c r="AI24" s="95"/>
      <c r="AJ24" s="95"/>
      <c r="AK24" s="37"/>
      <c r="AL24" s="37"/>
      <c r="AM24" s="37"/>
      <c r="AN24" s="37"/>
      <c r="AO24" s="37"/>
      <c r="AP24" s="37"/>
      <c r="AQ24" s="37"/>
      <c r="AR24" s="37"/>
      <c r="AS24" s="37"/>
      <c r="AT24" s="37"/>
      <c r="AU24" s="37"/>
      <c r="AV24" s="37"/>
      <c r="AW24" s="37"/>
      <c r="AX24" s="37"/>
      <c r="AY24" s="37"/>
      <c r="AZ24" s="37"/>
      <c r="BA24" s="37"/>
      <c r="BB24" s="37"/>
      <c r="BC24" s="37"/>
    </row>
    <row r="25" spans="13:55" x14ac:dyDescent="0.25">
      <c r="M25" s="95"/>
      <c r="N25" s="95"/>
      <c r="O25" s="95"/>
      <c r="P25" s="95"/>
      <c r="Q25" s="95"/>
      <c r="R25" s="95"/>
      <c r="S25" s="95"/>
      <c r="T25" s="95"/>
      <c r="U25" s="95"/>
      <c r="V25" s="95"/>
      <c r="W25" s="95"/>
      <c r="X25" s="95"/>
      <c r="Y25" s="95"/>
      <c r="Z25" s="95"/>
      <c r="AA25" s="95"/>
      <c r="AB25" s="95"/>
      <c r="AC25" s="95"/>
      <c r="AD25" s="95"/>
      <c r="AE25" s="95"/>
      <c r="AF25" s="95"/>
      <c r="AG25" s="95"/>
      <c r="AH25" s="95"/>
      <c r="AI25" s="95"/>
      <c r="AJ25" s="95"/>
      <c r="AK25" s="37"/>
      <c r="AL25" s="37"/>
      <c r="AM25" s="37"/>
      <c r="AN25" s="37"/>
      <c r="AO25" s="37"/>
      <c r="AP25" s="37"/>
      <c r="AQ25" s="37"/>
      <c r="AR25" s="37"/>
      <c r="AS25" s="37"/>
      <c r="AT25" s="37"/>
      <c r="AU25" s="37"/>
      <c r="AV25" s="37"/>
      <c r="AW25" s="37"/>
      <c r="AX25" s="37"/>
      <c r="AY25" s="37"/>
      <c r="AZ25" s="37"/>
      <c r="BA25" s="37"/>
      <c r="BB25" s="37"/>
      <c r="BC25" s="37"/>
    </row>
    <row r="26" spans="13:55" x14ac:dyDescent="0.25">
      <c r="M26" s="95"/>
      <c r="N26" s="95"/>
      <c r="O26" s="95"/>
      <c r="P26" s="95"/>
      <c r="Q26" s="95"/>
      <c r="R26" s="95"/>
      <c r="S26" s="95"/>
      <c r="T26" s="95"/>
      <c r="U26" s="95"/>
      <c r="V26" s="95"/>
      <c r="W26" s="95"/>
      <c r="X26" s="95"/>
      <c r="Y26" s="95"/>
      <c r="Z26" s="95"/>
      <c r="AA26" s="95"/>
      <c r="AB26" s="95"/>
      <c r="AC26" s="95"/>
      <c r="AD26" s="95"/>
      <c r="AE26" s="95"/>
      <c r="AF26" s="95"/>
      <c r="AG26" s="95"/>
      <c r="AH26" s="95"/>
      <c r="AI26" s="95"/>
      <c r="AJ26" s="95"/>
      <c r="AK26" s="37"/>
      <c r="AL26" s="37"/>
      <c r="AM26" s="37"/>
      <c r="AN26" s="37"/>
      <c r="AO26" s="37"/>
      <c r="AP26" s="37"/>
      <c r="AQ26" s="37"/>
      <c r="AR26" s="37"/>
      <c r="AS26" s="37"/>
      <c r="AT26" s="37"/>
      <c r="AU26" s="37"/>
      <c r="AV26" s="37"/>
      <c r="AW26" s="37"/>
      <c r="AX26" s="37"/>
      <c r="AY26" s="37"/>
      <c r="AZ26" s="37"/>
      <c r="BA26" s="37"/>
      <c r="BB26" s="37"/>
      <c r="BC26" s="37"/>
    </row>
    <row r="27" spans="13:55" x14ac:dyDescent="0.25">
      <c r="M27" s="95"/>
      <c r="N27" s="95"/>
      <c r="O27" s="95"/>
      <c r="P27" s="95"/>
      <c r="Q27" s="95"/>
      <c r="R27" s="95"/>
      <c r="S27" s="95"/>
      <c r="T27" s="95"/>
      <c r="U27" s="95"/>
      <c r="V27" s="95"/>
      <c r="W27" s="95"/>
      <c r="X27" s="95"/>
      <c r="Y27" s="95"/>
      <c r="Z27" s="95"/>
      <c r="AA27" s="95"/>
      <c r="AB27" s="95"/>
      <c r="AC27" s="95"/>
      <c r="AD27" s="95"/>
      <c r="AE27" s="95"/>
      <c r="AF27" s="95"/>
      <c r="AG27" s="95"/>
      <c r="AH27" s="95"/>
      <c r="AI27" s="95"/>
      <c r="AJ27" s="95"/>
      <c r="AK27" s="37"/>
      <c r="AL27" s="37"/>
      <c r="AM27" s="37"/>
      <c r="AN27" s="37"/>
      <c r="AO27" s="37"/>
      <c r="AP27" s="37"/>
      <c r="AQ27" s="37"/>
      <c r="AR27" s="37"/>
      <c r="AS27" s="37"/>
      <c r="AT27" s="37"/>
      <c r="AU27" s="37"/>
      <c r="AV27" s="37"/>
      <c r="AW27" s="37"/>
      <c r="AX27" s="37"/>
      <c r="AY27" s="37"/>
      <c r="AZ27" s="37"/>
      <c r="BA27" s="37"/>
      <c r="BB27" s="37"/>
      <c r="BC27" s="37"/>
    </row>
    <row r="28" spans="13:55" x14ac:dyDescent="0.25">
      <c r="M28" s="95"/>
      <c r="N28" s="95"/>
      <c r="O28" s="95"/>
      <c r="P28" s="95"/>
      <c r="Q28" s="95"/>
      <c r="R28" s="95"/>
      <c r="S28" s="95"/>
      <c r="T28" s="95"/>
      <c r="U28" s="95"/>
      <c r="V28" s="95"/>
      <c r="W28" s="95"/>
      <c r="X28" s="95"/>
      <c r="Y28" s="95"/>
      <c r="Z28" s="95"/>
      <c r="AA28" s="95"/>
      <c r="AB28" s="95"/>
      <c r="AC28" s="95"/>
      <c r="AD28" s="95"/>
      <c r="AE28" s="95"/>
      <c r="AF28" s="95"/>
      <c r="AG28" s="95"/>
      <c r="AH28" s="95"/>
      <c r="AI28" s="95"/>
      <c r="AJ28" s="95"/>
      <c r="AK28" s="37"/>
      <c r="AL28" s="37"/>
      <c r="AM28" s="37"/>
      <c r="AN28" s="37"/>
      <c r="AO28" s="37"/>
      <c r="AP28" s="37"/>
      <c r="AQ28" s="37"/>
      <c r="AR28" s="37"/>
      <c r="AS28" s="37"/>
      <c r="AT28" s="37"/>
      <c r="AU28" s="37"/>
      <c r="AV28" s="37"/>
      <c r="AW28" s="37"/>
      <c r="AX28" s="37"/>
      <c r="AY28" s="37"/>
      <c r="AZ28" s="37"/>
      <c r="BA28" s="37"/>
      <c r="BB28" s="37"/>
      <c r="BC28" s="37"/>
    </row>
    <row r="29" spans="13:55" x14ac:dyDescent="0.25">
      <c r="M29" s="95"/>
      <c r="N29" s="95"/>
      <c r="O29" s="95"/>
      <c r="P29" s="95"/>
      <c r="Q29" s="95"/>
      <c r="R29" s="95"/>
      <c r="S29" s="95"/>
      <c r="T29" s="95"/>
      <c r="U29" s="95"/>
      <c r="V29" s="95"/>
      <c r="W29" s="95"/>
      <c r="X29" s="95"/>
      <c r="Y29" s="95"/>
      <c r="Z29" s="95"/>
      <c r="AA29" s="95"/>
      <c r="AB29" s="95"/>
      <c r="AC29" s="95"/>
      <c r="AD29" s="95"/>
      <c r="AE29" s="95"/>
      <c r="AF29" s="95"/>
      <c r="AG29" s="95"/>
      <c r="AH29" s="95"/>
      <c r="AI29" s="95"/>
      <c r="AJ29" s="95"/>
      <c r="AK29" s="37"/>
      <c r="AL29" s="37"/>
      <c r="AM29" s="37"/>
      <c r="AN29" s="37"/>
      <c r="AO29" s="37"/>
      <c r="AP29" s="37"/>
      <c r="AQ29" s="37"/>
      <c r="AR29" s="37"/>
      <c r="AS29" s="37"/>
      <c r="AT29" s="37"/>
      <c r="AU29" s="37"/>
      <c r="AV29" s="37"/>
      <c r="AW29" s="37"/>
      <c r="AX29" s="37"/>
      <c r="AY29" s="37"/>
      <c r="AZ29" s="37"/>
      <c r="BA29" s="37"/>
      <c r="BB29" s="37"/>
      <c r="BC29" s="37"/>
    </row>
    <row r="30" spans="13:55" x14ac:dyDescent="0.25">
      <c r="M30" s="95"/>
      <c r="N30" s="95"/>
      <c r="O30" s="95"/>
      <c r="P30" s="95"/>
      <c r="Q30" s="95"/>
      <c r="R30" s="95"/>
      <c r="S30" s="95"/>
      <c r="T30" s="95"/>
      <c r="U30" s="95"/>
      <c r="V30" s="95"/>
      <c r="W30" s="95"/>
      <c r="X30" s="95"/>
      <c r="Y30" s="95"/>
      <c r="Z30" s="95"/>
      <c r="AA30" s="95"/>
      <c r="AB30" s="95"/>
      <c r="AC30" s="95"/>
      <c r="AD30" s="95"/>
      <c r="AE30" s="95"/>
      <c r="AF30" s="95"/>
      <c r="AG30" s="95"/>
      <c r="AH30" s="95"/>
      <c r="AI30" s="95"/>
      <c r="AJ30" s="95"/>
      <c r="AK30" s="37"/>
      <c r="AL30" s="37"/>
      <c r="AM30" s="37"/>
      <c r="AN30" s="37"/>
      <c r="AO30" s="37"/>
      <c r="AP30" s="37"/>
      <c r="AQ30" s="37"/>
      <c r="AR30" s="37"/>
      <c r="AS30" s="37"/>
      <c r="AT30" s="37"/>
      <c r="AU30" s="37"/>
      <c r="AV30" s="37"/>
      <c r="AW30" s="37"/>
      <c r="AX30" s="37"/>
      <c r="AY30" s="37"/>
      <c r="AZ30" s="37"/>
      <c r="BA30" s="37"/>
      <c r="BB30" s="37"/>
      <c r="BC30" s="37"/>
    </row>
    <row r="31" spans="13:55" x14ac:dyDescent="0.25">
      <c r="M31" s="95"/>
      <c r="N31" s="95"/>
      <c r="O31" s="95"/>
      <c r="P31" s="95"/>
      <c r="Q31" s="95"/>
      <c r="R31" s="95"/>
      <c r="S31" s="95"/>
      <c r="T31" s="95"/>
      <c r="U31" s="95"/>
      <c r="V31" s="95"/>
      <c r="W31" s="95"/>
      <c r="X31" s="95"/>
      <c r="Y31" s="95"/>
      <c r="Z31" s="95"/>
      <c r="AA31" s="95"/>
      <c r="AB31" s="95"/>
      <c r="AC31" s="95"/>
      <c r="AD31" s="95"/>
      <c r="AE31" s="95"/>
      <c r="AF31" s="95"/>
      <c r="AG31" s="95"/>
      <c r="AH31" s="95"/>
      <c r="AI31" s="95"/>
      <c r="AJ31" s="95"/>
      <c r="AK31" s="37"/>
      <c r="AL31" s="37"/>
      <c r="AM31" s="37"/>
      <c r="AN31" s="37"/>
      <c r="AO31" s="37"/>
      <c r="AP31" s="37"/>
      <c r="AQ31" s="37"/>
      <c r="AR31" s="37"/>
      <c r="AS31" s="37"/>
      <c r="AT31" s="37"/>
      <c r="AU31" s="37"/>
      <c r="AV31" s="37"/>
      <c r="AW31" s="37"/>
      <c r="AX31" s="37"/>
      <c r="AY31" s="37"/>
      <c r="AZ31" s="37"/>
      <c r="BA31" s="37"/>
      <c r="BB31" s="37"/>
      <c r="BC31" s="37"/>
    </row>
    <row r="32" spans="13:55" x14ac:dyDescent="0.25">
      <c r="M32" s="95"/>
      <c r="N32" s="95"/>
      <c r="O32" s="95"/>
      <c r="P32" s="95"/>
      <c r="Q32" s="95"/>
      <c r="R32" s="95"/>
      <c r="S32" s="95"/>
      <c r="T32" s="95"/>
      <c r="U32" s="95"/>
      <c r="V32" s="95"/>
      <c r="W32" s="95"/>
      <c r="X32" s="95"/>
      <c r="Y32" s="95"/>
      <c r="Z32" s="95"/>
      <c r="AA32" s="95"/>
      <c r="AB32" s="95"/>
      <c r="AC32" s="95"/>
      <c r="AD32" s="95"/>
      <c r="AE32" s="95"/>
      <c r="AF32" s="95"/>
      <c r="AG32" s="95"/>
      <c r="AH32" s="95"/>
      <c r="AI32" s="95"/>
      <c r="AJ32" s="95"/>
      <c r="AK32" s="37"/>
      <c r="AL32" s="37"/>
      <c r="AM32" s="37"/>
      <c r="AN32" s="37"/>
      <c r="AO32" s="37"/>
      <c r="AP32" s="37"/>
      <c r="AQ32" s="37"/>
      <c r="AR32" s="37"/>
      <c r="AS32" s="37"/>
      <c r="AT32" s="37"/>
      <c r="AU32" s="37"/>
      <c r="AV32" s="37"/>
      <c r="AW32" s="37"/>
      <c r="AX32" s="37"/>
      <c r="AY32" s="37"/>
      <c r="AZ32" s="37"/>
      <c r="BA32" s="37"/>
      <c r="BB32" s="37"/>
      <c r="BC32" s="37"/>
    </row>
    <row r="33" spans="1:55" x14ac:dyDescent="0.25">
      <c r="M33" s="95"/>
      <c r="N33" s="95"/>
      <c r="O33" s="95"/>
      <c r="P33" s="95"/>
      <c r="Q33" s="95"/>
      <c r="R33" s="95"/>
      <c r="S33" s="95"/>
      <c r="T33" s="95"/>
      <c r="U33" s="95"/>
      <c r="V33" s="95"/>
      <c r="W33" s="95"/>
      <c r="X33" s="95"/>
      <c r="Y33" s="95"/>
      <c r="Z33" s="95"/>
      <c r="AA33" s="95"/>
      <c r="AB33" s="95"/>
      <c r="AC33" s="95"/>
      <c r="AD33" s="95"/>
      <c r="AE33" s="95"/>
      <c r="AF33" s="95"/>
      <c r="AG33" s="95"/>
      <c r="AH33" s="95"/>
      <c r="AI33" s="95"/>
      <c r="AJ33" s="95"/>
      <c r="AK33" s="37"/>
      <c r="AL33" s="37"/>
      <c r="AM33" s="37"/>
      <c r="AN33" s="37"/>
      <c r="AO33" s="37"/>
      <c r="AP33" s="37"/>
      <c r="AQ33" s="37"/>
      <c r="AR33" s="37"/>
      <c r="AS33" s="37"/>
      <c r="AT33" s="37"/>
      <c r="AU33" s="37"/>
      <c r="AV33" s="37"/>
      <c r="AW33" s="37"/>
      <c r="AX33" s="37"/>
      <c r="AY33" s="37"/>
      <c r="AZ33" s="37"/>
      <c r="BA33" s="37"/>
      <c r="BB33" s="37"/>
      <c r="BC33" s="37"/>
    </row>
    <row r="34" spans="1:55" x14ac:dyDescent="0.25">
      <c r="M34" s="95"/>
      <c r="N34" s="95"/>
      <c r="O34" s="95"/>
      <c r="P34" s="95"/>
      <c r="Q34" s="95"/>
      <c r="R34" s="95"/>
      <c r="S34" s="95"/>
      <c r="T34" s="95"/>
      <c r="U34" s="95"/>
      <c r="V34" s="95"/>
      <c r="W34" s="95"/>
      <c r="X34" s="95"/>
      <c r="Y34" s="95"/>
      <c r="Z34" s="95"/>
      <c r="AA34" s="95"/>
      <c r="AB34" s="95"/>
      <c r="AC34" s="95"/>
      <c r="AD34" s="95"/>
      <c r="AE34" s="95"/>
      <c r="AF34" s="95"/>
      <c r="AG34" s="95"/>
      <c r="AH34" s="95"/>
      <c r="AI34" s="95"/>
      <c r="AJ34" s="95"/>
      <c r="AK34" s="37"/>
      <c r="AL34" s="37"/>
      <c r="AM34" s="37"/>
      <c r="AN34" s="37"/>
      <c r="AO34" s="37"/>
      <c r="AP34" s="37"/>
      <c r="AQ34" s="37"/>
      <c r="AR34" s="37"/>
      <c r="AS34" s="37"/>
      <c r="AT34" s="37"/>
      <c r="AU34" s="37"/>
      <c r="AV34" s="37"/>
      <c r="AW34" s="37"/>
      <c r="AX34" s="37"/>
      <c r="AY34" s="37"/>
      <c r="AZ34" s="37"/>
      <c r="BA34" s="37"/>
      <c r="BB34" s="37"/>
      <c r="BC34" s="37"/>
    </row>
    <row r="35" spans="1:55" x14ac:dyDescent="0.25">
      <c r="M35" s="95"/>
      <c r="N35" s="95"/>
      <c r="O35" s="95"/>
      <c r="P35" s="95"/>
      <c r="Q35" s="95"/>
      <c r="R35" s="95"/>
      <c r="S35" s="95"/>
      <c r="T35" s="95"/>
      <c r="U35" s="95"/>
      <c r="V35" s="95"/>
      <c r="W35" s="95"/>
      <c r="X35" s="95"/>
      <c r="Y35" s="95"/>
      <c r="Z35" s="95"/>
      <c r="AA35" s="95"/>
      <c r="AB35" s="95"/>
      <c r="AC35" s="95"/>
      <c r="AD35" s="95"/>
      <c r="AE35" s="95"/>
      <c r="AF35" s="95"/>
      <c r="AG35" s="95"/>
      <c r="AH35" s="95"/>
      <c r="AI35" s="95"/>
      <c r="AJ35" s="95"/>
      <c r="AK35" s="37"/>
      <c r="AL35" s="37"/>
      <c r="AM35" s="37"/>
      <c r="AN35" s="37"/>
      <c r="AO35" s="37"/>
      <c r="AP35" s="37"/>
      <c r="AQ35" s="37"/>
      <c r="AR35" s="37"/>
      <c r="AS35" s="37"/>
      <c r="AT35" s="37"/>
      <c r="AU35" s="37"/>
      <c r="AV35" s="37"/>
      <c r="AW35" s="37"/>
      <c r="AX35" s="37"/>
      <c r="AY35" s="37"/>
      <c r="AZ35" s="37"/>
      <c r="BA35" s="37"/>
      <c r="BB35" s="37"/>
      <c r="BC35" s="37"/>
    </row>
    <row r="36" spans="1:55" x14ac:dyDescent="0.25">
      <c r="A36" s="37"/>
      <c r="B36" s="37"/>
      <c r="C36" s="37"/>
      <c r="D36" s="95"/>
      <c r="E36" s="95"/>
      <c r="F36" s="95"/>
      <c r="G36" s="95"/>
      <c r="H36" s="95"/>
      <c r="I36" s="95"/>
      <c r="J36" s="95"/>
      <c r="K36" s="95"/>
      <c r="L36" s="95"/>
      <c r="M36" s="95"/>
      <c r="N36" s="95"/>
      <c r="O36" s="95"/>
      <c r="P36" s="95"/>
      <c r="Q36" s="95"/>
      <c r="R36" s="95"/>
      <c r="S36" s="95"/>
      <c r="T36" s="95"/>
      <c r="U36" s="95"/>
      <c r="V36" s="95"/>
      <c r="W36" s="95"/>
      <c r="X36" s="95"/>
      <c r="Y36" s="95"/>
      <c r="Z36" s="95"/>
      <c r="AA36" s="95"/>
      <c r="AB36" s="95"/>
      <c r="AC36" s="95"/>
      <c r="AD36" s="95"/>
      <c r="AE36" s="95"/>
      <c r="AF36" s="95"/>
      <c r="AG36" s="95"/>
      <c r="AH36" s="95"/>
      <c r="AI36" s="95"/>
      <c r="AJ36" s="95"/>
      <c r="AK36" s="37"/>
      <c r="AL36" s="37"/>
      <c r="AM36" s="37"/>
      <c r="AN36" s="37"/>
      <c r="AO36" s="37"/>
      <c r="AP36" s="37"/>
      <c r="AQ36" s="37"/>
      <c r="AR36" s="37"/>
      <c r="AS36" s="37"/>
      <c r="AT36" s="37"/>
      <c r="AU36" s="37"/>
      <c r="AV36" s="37"/>
      <c r="AW36" s="37"/>
      <c r="AX36" s="37"/>
      <c r="AY36" s="37"/>
      <c r="AZ36" s="37"/>
      <c r="BA36" s="37"/>
      <c r="BB36" s="37"/>
      <c r="BC36" s="37"/>
    </row>
    <row r="37" spans="1:55" x14ac:dyDescent="0.25">
      <c r="A37" s="37"/>
      <c r="B37" s="37"/>
      <c r="C37" s="37"/>
      <c r="D37" s="95"/>
      <c r="E37" s="95"/>
      <c r="F37" s="95"/>
      <c r="G37" s="95"/>
      <c r="H37" s="95"/>
      <c r="I37" s="95"/>
      <c r="J37" s="95"/>
      <c r="K37" s="95"/>
      <c r="L37" s="95"/>
      <c r="M37" s="95"/>
      <c r="N37" s="95"/>
      <c r="O37" s="95"/>
      <c r="P37" s="95"/>
      <c r="Q37" s="95"/>
      <c r="R37" s="95"/>
      <c r="S37" s="95"/>
      <c r="T37" s="95"/>
      <c r="U37" s="95"/>
      <c r="V37" s="95"/>
      <c r="W37" s="95"/>
      <c r="X37" s="95"/>
      <c r="Y37" s="95"/>
      <c r="Z37" s="95"/>
      <c r="AA37" s="95"/>
      <c r="AB37" s="95"/>
      <c r="AC37" s="95"/>
      <c r="AD37" s="95"/>
      <c r="AE37" s="95"/>
      <c r="AF37" s="95"/>
      <c r="AG37" s="95"/>
      <c r="AH37" s="95"/>
      <c r="AI37" s="95"/>
      <c r="AJ37" s="95"/>
      <c r="AK37" s="37"/>
      <c r="AL37" s="37"/>
      <c r="AM37" s="37"/>
      <c r="AN37" s="37"/>
      <c r="AO37" s="37"/>
      <c r="AP37" s="37"/>
      <c r="AQ37" s="37"/>
      <c r="AR37" s="37"/>
      <c r="AS37" s="37"/>
      <c r="AT37" s="37"/>
      <c r="AU37" s="37"/>
      <c r="AV37" s="37"/>
      <c r="AW37" s="37"/>
      <c r="AX37" s="37"/>
      <c r="AY37" s="37"/>
      <c r="AZ37" s="37"/>
      <c r="BA37" s="37"/>
      <c r="BB37" s="37"/>
      <c r="BC37" s="37"/>
    </row>
    <row r="38" spans="1:55" x14ac:dyDescent="0.25">
      <c r="A38" s="37"/>
      <c r="B38" s="37"/>
      <c r="C38" s="37"/>
      <c r="D38" s="95"/>
      <c r="E38" s="95"/>
      <c r="F38" s="95"/>
      <c r="G38" s="95"/>
      <c r="H38" s="95"/>
      <c r="I38" s="95"/>
      <c r="J38" s="95"/>
      <c r="K38" s="95"/>
      <c r="L38" s="95"/>
      <c r="M38" s="95"/>
      <c r="N38" s="95"/>
      <c r="O38" s="95"/>
      <c r="P38" s="95"/>
      <c r="Q38" s="95"/>
      <c r="R38" s="95"/>
      <c r="S38" s="95"/>
      <c r="T38" s="95"/>
      <c r="U38" s="95"/>
      <c r="V38" s="95"/>
      <c r="W38" s="95"/>
      <c r="X38" s="95"/>
      <c r="Y38" s="95"/>
      <c r="Z38" s="95"/>
      <c r="AA38" s="95"/>
      <c r="AB38" s="95"/>
      <c r="AC38" s="95"/>
      <c r="AD38" s="95"/>
      <c r="AE38" s="95"/>
      <c r="AF38" s="95"/>
      <c r="AG38" s="95"/>
      <c r="AH38" s="95"/>
      <c r="AI38" s="95"/>
      <c r="AJ38" s="95"/>
      <c r="AK38" s="37"/>
      <c r="AL38" s="37"/>
      <c r="AM38" s="37"/>
      <c r="AN38" s="37"/>
      <c r="AO38" s="37"/>
      <c r="AP38" s="37"/>
      <c r="AQ38" s="37"/>
      <c r="AR38" s="37"/>
      <c r="AS38" s="37"/>
      <c r="AT38" s="37"/>
      <c r="AU38" s="37"/>
      <c r="AV38" s="37"/>
      <c r="AW38" s="37"/>
      <c r="AX38" s="37"/>
      <c r="AY38" s="37"/>
      <c r="AZ38" s="37"/>
      <c r="BA38" s="37"/>
      <c r="BB38" s="37"/>
      <c r="BC38" s="37"/>
    </row>
    <row r="39" spans="1:55" x14ac:dyDescent="0.25">
      <c r="A39" s="37"/>
      <c r="B39" s="37"/>
      <c r="C39" s="37"/>
      <c r="D39" s="95"/>
      <c r="E39" s="95"/>
      <c r="F39" s="95"/>
      <c r="G39" s="95"/>
      <c r="H39" s="95"/>
      <c r="I39" s="95"/>
      <c r="J39" s="95"/>
      <c r="K39" s="95"/>
      <c r="L39" s="95"/>
      <c r="M39" s="95"/>
      <c r="N39" s="95"/>
      <c r="O39" s="95"/>
      <c r="P39" s="95"/>
      <c r="Q39" s="95"/>
      <c r="R39" s="95"/>
      <c r="S39" s="95"/>
      <c r="T39" s="95"/>
      <c r="U39" s="95"/>
      <c r="V39" s="95"/>
      <c r="W39" s="95"/>
      <c r="X39" s="95"/>
      <c r="Y39" s="95"/>
      <c r="Z39" s="95"/>
      <c r="AA39" s="95"/>
      <c r="AB39" s="95"/>
      <c r="AC39" s="95"/>
      <c r="AD39" s="95"/>
      <c r="AE39" s="95"/>
      <c r="AF39" s="95"/>
      <c r="AG39" s="95"/>
      <c r="AH39" s="95"/>
      <c r="AI39" s="95"/>
      <c r="AJ39" s="95"/>
      <c r="AK39" s="37"/>
      <c r="AL39" s="37"/>
      <c r="AM39" s="37"/>
      <c r="AN39" s="37"/>
      <c r="AO39" s="37"/>
      <c r="AP39" s="37"/>
      <c r="AQ39" s="37"/>
      <c r="AR39" s="37"/>
      <c r="AS39" s="37"/>
      <c r="AT39" s="37"/>
      <c r="AU39" s="37"/>
      <c r="AV39" s="37"/>
      <c r="AW39" s="37"/>
      <c r="AX39" s="37"/>
      <c r="AY39" s="37"/>
      <c r="AZ39" s="37"/>
      <c r="BA39" s="37"/>
      <c r="BB39" s="37"/>
      <c r="BC39" s="37"/>
    </row>
    <row r="40" spans="1:55" x14ac:dyDescent="0.25">
      <c r="A40" s="37"/>
      <c r="B40" s="37"/>
      <c r="C40" s="37"/>
      <c r="D40" s="95"/>
      <c r="E40" s="95"/>
      <c r="F40" s="95"/>
      <c r="G40" s="95"/>
      <c r="H40" s="95"/>
      <c r="I40" s="95"/>
      <c r="J40" s="95"/>
      <c r="K40" s="95"/>
      <c r="L40" s="95"/>
      <c r="M40" s="95"/>
      <c r="N40" s="95"/>
      <c r="O40" s="95"/>
      <c r="P40" s="95"/>
      <c r="Q40" s="95"/>
      <c r="R40" s="95"/>
      <c r="S40" s="95"/>
      <c r="T40" s="95"/>
      <c r="U40" s="95"/>
      <c r="V40" s="95"/>
      <c r="W40" s="95"/>
      <c r="X40" s="95"/>
      <c r="Y40" s="95"/>
      <c r="Z40" s="95"/>
      <c r="AA40" s="95"/>
      <c r="AB40" s="95"/>
      <c r="AC40" s="95"/>
      <c r="AD40" s="95"/>
      <c r="AE40" s="95"/>
      <c r="AF40" s="95"/>
      <c r="AG40" s="95"/>
      <c r="AH40" s="95"/>
      <c r="AI40" s="95"/>
      <c r="AJ40" s="95"/>
      <c r="AK40" s="37"/>
      <c r="AL40" s="37"/>
      <c r="AM40" s="37"/>
      <c r="AN40" s="37"/>
      <c r="AO40" s="37"/>
      <c r="AP40" s="37"/>
      <c r="AQ40" s="37"/>
      <c r="AR40" s="37"/>
      <c r="AS40" s="37"/>
      <c r="AT40" s="37"/>
      <c r="AU40" s="37"/>
      <c r="AV40" s="37"/>
      <c r="AW40" s="37"/>
      <c r="AX40" s="37"/>
      <c r="AY40" s="37"/>
      <c r="AZ40" s="37"/>
      <c r="BA40" s="37"/>
      <c r="BB40" s="37"/>
      <c r="BC40" s="37"/>
    </row>
    <row r="41" spans="1:55" x14ac:dyDescent="0.25">
      <c r="A41" s="37"/>
      <c r="B41" s="37"/>
      <c r="C41" s="37"/>
      <c r="D41" s="95"/>
      <c r="E41" s="95"/>
      <c r="F41" s="95"/>
      <c r="G41" s="95"/>
      <c r="H41" s="95"/>
      <c r="I41" s="95"/>
      <c r="J41" s="95"/>
      <c r="K41" s="95"/>
      <c r="L41" s="95"/>
      <c r="M41" s="95"/>
      <c r="N41" s="95"/>
      <c r="O41" s="95"/>
      <c r="P41" s="95"/>
      <c r="Q41" s="95"/>
      <c r="R41" s="95"/>
      <c r="S41" s="95"/>
      <c r="T41" s="95"/>
      <c r="U41" s="95"/>
      <c r="V41" s="95"/>
      <c r="W41" s="95"/>
      <c r="X41" s="95"/>
      <c r="Y41" s="95"/>
      <c r="Z41" s="95"/>
      <c r="AA41" s="95"/>
      <c r="AB41" s="95"/>
      <c r="AC41" s="95"/>
      <c r="AD41" s="95"/>
      <c r="AE41" s="95"/>
      <c r="AF41" s="95"/>
      <c r="AG41" s="95"/>
      <c r="AH41" s="95"/>
      <c r="AI41" s="95"/>
      <c r="AJ41" s="95"/>
      <c r="AK41" s="37"/>
      <c r="AL41" s="37"/>
      <c r="AM41" s="37"/>
      <c r="AN41" s="37"/>
      <c r="AO41" s="37"/>
      <c r="AP41" s="37"/>
      <c r="AQ41" s="37"/>
      <c r="AR41" s="37"/>
      <c r="AS41" s="37"/>
      <c r="AT41" s="37"/>
      <c r="AU41" s="37"/>
      <c r="AV41" s="37"/>
      <c r="AW41" s="37"/>
      <c r="AX41" s="37"/>
      <c r="AY41" s="37"/>
      <c r="AZ41" s="37"/>
      <c r="BA41" s="37"/>
      <c r="BB41" s="37"/>
      <c r="BC41" s="37"/>
    </row>
    <row r="42" spans="1:55" x14ac:dyDescent="0.25">
      <c r="A42" s="37"/>
      <c r="B42" s="37"/>
      <c r="C42" s="37"/>
      <c r="D42" s="95"/>
      <c r="E42" s="95"/>
      <c r="F42" s="95"/>
      <c r="G42" s="95"/>
      <c r="H42" s="95"/>
      <c r="I42" s="95"/>
      <c r="J42" s="95"/>
      <c r="K42" s="95"/>
      <c r="L42" s="95"/>
      <c r="M42" s="95"/>
      <c r="N42" s="95"/>
      <c r="O42" s="95"/>
      <c r="P42" s="95"/>
      <c r="Q42" s="95"/>
      <c r="R42" s="95"/>
      <c r="S42" s="95"/>
      <c r="T42" s="95"/>
      <c r="U42" s="95"/>
      <c r="V42" s="95"/>
      <c r="W42" s="95"/>
      <c r="X42" s="95"/>
      <c r="Y42" s="95"/>
      <c r="Z42" s="95"/>
      <c r="AA42" s="95"/>
      <c r="AB42" s="95"/>
      <c r="AC42" s="95"/>
      <c r="AD42" s="95"/>
      <c r="AE42" s="95"/>
      <c r="AF42" s="95"/>
      <c r="AG42" s="95"/>
      <c r="AH42" s="95"/>
      <c r="AI42" s="95"/>
      <c r="AJ42" s="95"/>
      <c r="AK42" s="37"/>
      <c r="AL42" s="37"/>
      <c r="AM42" s="37"/>
      <c r="AN42" s="37"/>
      <c r="AO42" s="37"/>
      <c r="AP42" s="37"/>
      <c r="AQ42" s="37"/>
      <c r="AR42" s="37"/>
      <c r="AS42" s="37"/>
      <c r="AT42" s="37"/>
      <c r="AU42" s="37"/>
      <c r="AV42" s="37"/>
      <c r="AW42" s="37"/>
      <c r="AX42" s="37"/>
      <c r="AY42" s="37"/>
      <c r="AZ42" s="37"/>
      <c r="BA42" s="37"/>
      <c r="BB42" s="37"/>
      <c r="BC42" s="37"/>
    </row>
    <row r="43" spans="1:55" x14ac:dyDescent="0.25">
      <c r="A43" s="37"/>
      <c r="B43" s="37"/>
      <c r="C43" s="37"/>
      <c r="D43" s="95"/>
      <c r="E43" s="95"/>
      <c r="F43" s="95"/>
      <c r="G43" s="95"/>
      <c r="H43" s="95"/>
      <c r="I43" s="95"/>
      <c r="J43" s="95"/>
      <c r="K43" s="95"/>
      <c r="L43" s="95"/>
      <c r="M43" s="95"/>
      <c r="N43" s="95"/>
      <c r="O43" s="95"/>
      <c r="P43" s="95"/>
      <c r="Q43" s="95"/>
      <c r="R43" s="95"/>
      <c r="S43" s="95"/>
      <c r="T43" s="95"/>
      <c r="U43" s="95"/>
      <c r="V43" s="95"/>
      <c r="W43" s="95"/>
      <c r="X43" s="95"/>
      <c r="Y43" s="95"/>
      <c r="Z43" s="95"/>
      <c r="AA43" s="95"/>
      <c r="AB43" s="95"/>
      <c r="AC43" s="95"/>
      <c r="AD43" s="95"/>
      <c r="AE43" s="95"/>
      <c r="AF43" s="95"/>
      <c r="AG43" s="95"/>
      <c r="AH43" s="95"/>
      <c r="AI43" s="95"/>
      <c r="AJ43" s="95"/>
      <c r="AK43" s="37"/>
      <c r="AL43" s="37"/>
      <c r="AM43" s="37"/>
      <c r="AN43" s="37"/>
      <c r="AO43" s="37"/>
      <c r="AP43" s="37"/>
      <c r="AQ43" s="37"/>
      <c r="AR43" s="37"/>
      <c r="AS43" s="37"/>
      <c r="AT43" s="37"/>
      <c r="AU43" s="37"/>
      <c r="AV43" s="37"/>
      <c r="AW43" s="37"/>
      <c r="AX43" s="37"/>
      <c r="AY43" s="37"/>
      <c r="AZ43" s="37"/>
      <c r="BA43" s="37"/>
      <c r="BB43" s="37"/>
      <c r="BC43" s="37"/>
    </row>
    <row r="44" spans="1:55" x14ac:dyDescent="0.25">
      <c r="A44" s="37"/>
      <c r="B44" s="37"/>
      <c r="C44" s="37"/>
      <c r="D44" s="95"/>
      <c r="E44" s="95"/>
      <c r="F44" s="95"/>
      <c r="G44" s="95"/>
      <c r="H44" s="95"/>
      <c r="I44" s="95"/>
      <c r="J44" s="95"/>
      <c r="K44" s="95"/>
      <c r="L44" s="95"/>
      <c r="M44" s="95"/>
      <c r="N44" s="95"/>
      <c r="O44" s="95"/>
      <c r="P44" s="95"/>
      <c r="Q44" s="95"/>
      <c r="R44" s="95"/>
      <c r="S44" s="95"/>
      <c r="T44" s="95"/>
      <c r="U44" s="95"/>
      <c r="V44" s="95"/>
      <c r="W44" s="95"/>
      <c r="X44" s="95"/>
      <c r="Y44" s="95"/>
      <c r="Z44" s="95"/>
      <c r="AA44" s="95"/>
      <c r="AB44" s="95"/>
      <c r="AC44" s="95"/>
      <c r="AD44" s="95"/>
      <c r="AE44" s="95"/>
      <c r="AF44" s="95"/>
      <c r="AG44" s="95"/>
      <c r="AH44" s="95"/>
      <c r="AI44" s="95"/>
      <c r="AJ44" s="95"/>
      <c r="AK44" s="37"/>
      <c r="AL44" s="37"/>
      <c r="AM44" s="37"/>
      <c r="AN44" s="37"/>
      <c r="AO44" s="37"/>
      <c r="AP44" s="37"/>
      <c r="AQ44" s="37"/>
      <c r="AR44" s="37"/>
      <c r="AS44" s="37"/>
      <c r="AT44" s="37"/>
      <c r="AU44" s="37"/>
      <c r="AV44" s="37"/>
      <c r="AW44" s="37"/>
      <c r="AX44" s="37"/>
      <c r="AY44" s="37"/>
      <c r="AZ44" s="37"/>
      <c r="BA44" s="37"/>
      <c r="BB44" s="37"/>
      <c r="BC44" s="37"/>
    </row>
    <row r="45" spans="1:55" x14ac:dyDescent="0.25">
      <c r="A45" s="37"/>
      <c r="B45" s="37"/>
      <c r="C45" s="37"/>
      <c r="D45" s="95"/>
      <c r="E45" s="95"/>
      <c r="F45" s="95"/>
      <c r="G45" s="95"/>
      <c r="H45" s="95"/>
      <c r="I45" s="95"/>
      <c r="J45" s="95"/>
      <c r="K45" s="95"/>
      <c r="L45" s="95"/>
      <c r="M45" s="95"/>
      <c r="N45" s="95"/>
      <c r="O45" s="95"/>
      <c r="P45" s="95"/>
      <c r="Q45" s="95"/>
      <c r="R45" s="95"/>
      <c r="S45" s="95"/>
      <c r="T45" s="95"/>
      <c r="U45" s="95"/>
      <c r="V45" s="95"/>
      <c r="W45" s="95"/>
      <c r="X45" s="95"/>
      <c r="Y45" s="95"/>
      <c r="Z45" s="95"/>
      <c r="AA45" s="95"/>
      <c r="AB45" s="95"/>
      <c r="AC45" s="95"/>
      <c r="AD45" s="95"/>
      <c r="AE45" s="95"/>
      <c r="AF45" s="95"/>
      <c r="AG45" s="95"/>
      <c r="AH45" s="95"/>
      <c r="AI45" s="95"/>
      <c r="AJ45" s="95"/>
      <c r="AK45" s="37"/>
      <c r="AL45" s="37"/>
      <c r="AM45" s="37"/>
      <c r="AN45" s="37"/>
      <c r="AO45" s="37"/>
      <c r="AP45" s="37"/>
      <c r="AQ45" s="37"/>
      <c r="AR45" s="37"/>
      <c r="AS45" s="37"/>
      <c r="AT45" s="37"/>
      <c r="AU45" s="37"/>
      <c r="AV45" s="37"/>
      <c r="AW45" s="37"/>
      <c r="AX45" s="37"/>
      <c r="AY45" s="37"/>
      <c r="AZ45" s="37"/>
      <c r="BA45" s="37"/>
      <c r="BB45" s="37"/>
      <c r="BC45" s="37"/>
    </row>
    <row r="46" spans="1:55" x14ac:dyDescent="0.25">
      <c r="A46" s="37"/>
      <c r="B46" s="37"/>
      <c r="C46" s="37"/>
      <c r="D46" s="95"/>
      <c r="E46" s="95"/>
      <c r="F46" s="95"/>
      <c r="G46" s="95"/>
      <c r="H46" s="95"/>
      <c r="I46" s="95"/>
      <c r="J46" s="95"/>
      <c r="K46" s="95"/>
      <c r="L46" s="95"/>
      <c r="M46" s="95"/>
      <c r="N46" s="95"/>
      <c r="O46" s="95"/>
      <c r="P46" s="95"/>
      <c r="Q46" s="95"/>
      <c r="R46" s="95"/>
      <c r="S46" s="95"/>
      <c r="T46" s="95"/>
      <c r="U46" s="95"/>
      <c r="V46" s="95"/>
      <c r="W46" s="95"/>
      <c r="X46" s="95"/>
      <c r="Y46" s="95"/>
      <c r="Z46" s="95"/>
      <c r="AA46" s="95"/>
      <c r="AB46" s="95"/>
      <c r="AC46" s="95"/>
      <c r="AD46" s="95"/>
      <c r="AE46" s="95"/>
      <c r="AF46" s="95"/>
      <c r="AG46" s="95"/>
      <c r="AH46" s="95"/>
      <c r="AI46" s="95"/>
      <c r="AJ46" s="95"/>
      <c r="AK46" s="37"/>
      <c r="AL46" s="37"/>
      <c r="AM46" s="37"/>
      <c r="AN46" s="37"/>
      <c r="AO46" s="37"/>
      <c r="AP46" s="37"/>
      <c r="AQ46" s="37"/>
      <c r="AR46" s="37"/>
      <c r="AS46" s="37"/>
      <c r="AT46" s="37"/>
      <c r="AU46" s="37"/>
      <c r="AV46" s="37"/>
      <c r="AW46" s="37"/>
      <c r="AX46" s="37"/>
      <c r="AY46" s="37"/>
      <c r="AZ46" s="37"/>
      <c r="BA46" s="37"/>
      <c r="BB46" s="37"/>
      <c r="BC46" s="37"/>
    </row>
    <row r="47" spans="1:55" x14ac:dyDescent="0.25">
      <c r="A47" s="37"/>
      <c r="B47" s="858"/>
      <c r="C47" s="858"/>
      <c r="D47" s="858"/>
      <c r="E47" s="858"/>
      <c r="F47" s="858"/>
      <c r="G47" s="858"/>
      <c r="H47" s="858"/>
      <c r="I47" s="858"/>
      <c r="J47" s="858"/>
      <c r="K47" s="858"/>
      <c r="L47" s="858"/>
      <c r="M47" s="858"/>
      <c r="N47" s="858"/>
      <c r="O47" s="95"/>
      <c r="P47" s="95"/>
      <c r="Q47" s="95"/>
      <c r="R47" s="95"/>
      <c r="S47" s="95"/>
      <c r="T47" s="95"/>
      <c r="U47" s="95"/>
      <c r="V47" s="95"/>
      <c r="W47" s="95"/>
      <c r="X47" s="95"/>
      <c r="Y47" s="95"/>
      <c r="Z47" s="95"/>
      <c r="AA47" s="95"/>
      <c r="AB47" s="95"/>
      <c r="AC47" s="95"/>
      <c r="AD47" s="95"/>
      <c r="AE47" s="95"/>
      <c r="AF47" s="95"/>
      <c r="AG47" s="95"/>
      <c r="AH47" s="95"/>
      <c r="AI47" s="95"/>
      <c r="AJ47" s="95"/>
      <c r="AK47" s="37"/>
      <c r="AL47" s="37"/>
      <c r="AM47" s="37"/>
      <c r="AN47" s="37"/>
      <c r="AO47" s="37"/>
      <c r="AP47" s="37"/>
      <c r="AQ47" s="37"/>
      <c r="AR47" s="37"/>
      <c r="AS47" s="37"/>
      <c r="AT47" s="37"/>
      <c r="AU47" s="37"/>
      <c r="AV47" s="37"/>
      <c r="AW47" s="37"/>
      <c r="AX47" s="37"/>
      <c r="AY47" s="37"/>
      <c r="AZ47" s="37"/>
      <c r="BA47" s="37"/>
      <c r="BB47" s="37"/>
      <c r="BC47" s="37"/>
    </row>
    <row r="48" spans="1:55" x14ac:dyDescent="0.25">
      <c r="A48" s="37"/>
      <c r="B48" s="858"/>
      <c r="C48" s="858"/>
      <c r="D48" s="858"/>
      <c r="E48" s="858"/>
      <c r="F48" s="858"/>
      <c r="G48" s="858"/>
      <c r="H48" s="858"/>
      <c r="I48" s="858"/>
      <c r="J48" s="858"/>
      <c r="K48" s="858"/>
      <c r="L48" s="858"/>
      <c r="M48" s="858"/>
      <c r="N48" s="858"/>
      <c r="O48" s="95"/>
      <c r="P48" s="95"/>
      <c r="Q48" s="95"/>
      <c r="R48" s="95"/>
      <c r="S48" s="95"/>
      <c r="T48" s="95"/>
      <c r="U48" s="95"/>
      <c r="V48" s="95"/>
      <c r="W48" s="95"/>
      <c r="X48" s="95"/>
      <c r="Y48" s="95"/>
      <c r="Z48" s="95"/>
      <c r="AA48" s="95"/>
      <c r="AB48" s="95"/>
      <c r="AC48" s="95"/>
      <c r="AD48" s="95"/>
      <c r="AE48" s="95"/>
      <c r="AF48" s="95"/>
      <c r="AG48" s="95"/>
      <c r="AH48" s="95"/>
      <c r="AI48" s="95"/>
      <c r="AJ48" s="95"/>
      <c r="AK48" s="37"/>
      <c r="AL48" s="37"/>
      <c r="AM48" s="37"/>
      <c r="AN48" s="37"/>
      <c r="AO48" s="37"/>
      <c r="AP48" s="37"/>
      <c r="AQ48" s="37"/>
      <c r="AR48" s="37"/>
      <c r="AS48" s="37"/>
      <c r="AT48" s="37"/>
      <c r="AU48" s="37"/>
      <c r="AV48" s="37"/>
      <c r="AW48" s="37"/>
      <c r="AX48" s="37"/>
      <c r="AY48" s="37"/>
      <c r="AZ48" s="37"/>
      <c r="BA48" s="37"/>
      <c r="BB48" s="37"/>
      <c r="BC48" s="37"/>
    </row>
    <row r="49" spans="1:55" x14ac:dyDescent="0.25">
      <c r="A49" s="37"/>
      <c r="B49" s="37"/>
      <c r="C49" s="37"/>
      <c r="D49" s="95"/>
      <c r="E49" s="95"/>
      <c r="F49" s="95"/>
      <c r="G49" s="95"/>
      <c r="H49" s="95"/>
      <c r="I49" s="95"/>
      <c r="J49" s="95"/>
      <c r="K49" s="95"/>
      <c r="L49" s="95"/>
      <c r="M49" s="95"/>
      <c r="N49" s="95"/>
      <c r="O49" s="95"/>
      <c r="P49" s="95"/>
      <c r="Q49" s="95"/>
      <c r="R49" s="95"/>
      <c r="S49" s="95"/>
      <c r="T49" s="95"/>
      <c r="U49" s="95"/>
      <c r="V49" s="95"/>
      <c r="W49" s="95"/>
      <c r="X49" s="95"/>
      <c r="Y49" s="95"/>
      <c r="Z49" s="95"/>
      <c r="AA49" s="95"/>
      <c r="AB49" s="95"/>
      <c r="AC49" s="95"/>
      <c r="AD49" s="95"/>
      <c r="AE49" s="95"/>
      <c r="AF49" s="95"/>
      <c r="AG49" s="95"/>
      <c r="AH49" s="95"/>
      <c r="AI49" s="95"/>
      <c r="AJ49" s="95"/>
      <c r="AK49" s="37"/>
      <c r="AL49" s="37"/>
      <c r="AM49" s="37"/>
      <c r="AN49" s="37"/>
      <c r="AO49" s="37"/>
      <c r="AP49" s="37"/>
      <c r="AQ49" s="37"/>
      <c r="AR49" s="37"/>
      <c r="AS49" s="37"/>
      <c r="AT49" s="37"/>
      <c r="AU49" s="37"/>
      <c r="AV49" s="37"/>
      <c r="AW49" s="37"/>
      <c r="AX49" s="37"/>
      <c r="AY49" s="37"/>
      <c r="AZ49" s="37"/>
      <c r="BA49" s="37"/>
      <c r="BB49" s="37"/>
      <c r="BC49" s="37"/>
    </row>
    <row r="50" spans="1:55" x14ac:dyDescent="0.25">
      <c r="A50" s="37"/>
      <c r="B50" s="37"/>
      <c r="C50" s="37"/>
      <c r="D50" s="95"/>
      <c r="E50" s="95"/>
      <c r="F50" s="95"/>
      <c r="G50" s="95"/>
      <c r="H50" s="95"/>
      <c r="I50" s="95"/>
      <c r="J50" s="95"/>
      <c r="K50" s="95"/>
      <c r="L50" s="95"/>
      <c r="M50" s="95"/>
      <c r="N50" s="95"/>
      <c r="O50" s="95"/>
      <c r="P50" s="95"/>
      <c r="Q50" s="95"/>
      <c r="R50" s="95"/>
      <c r="S50" s="95"/>
      <c r="T50" s="95"/>
      <c r="U50" s="95"/>
      <c r="V50" s="95"/>
      <c r="W50" s="95"/>
      <c r="X50" s="95"/>
      <c r="Y50" s="95"/>
      <c r="Z50" s="95"/>
      <c r="AA50" s="95"/>
      <c r="AB50" s="95"/>
      <c r="AC50" s="95"/>
      <c r="AD50" s="95"/>
      <c r="AE50" s="95"/>
      <c r="AF50" s="95"/>
      <c r="AG50" s="95"/>
      <c r="AH50" s="95"/>
      <c r="AI50" s="95"/>
      <c r="AJ50" s="95"/>
      <c r="AK50" s="37"/>
      <c r="AL50" s="37"/>
      <c r="AM50" s="37"/>
      <c r="AN50" s="37"/>
      <c r="AO50" s="37"/>
      <c r="AP50" s="37"/>
      <c r="AQ50" s="37"/>
      <c r="AR50" s="37"/>
      <c r="AS50" s="37"/>
      <c r="AT50" s="37"/>
      <c r="AU50" s="37"/>
      <c r="AV50" s="37"/>
      <c r="AW50" s="37"/>
      <c r="AX50" s="37"/>
      <c r="AY50" s="37"/>
      <c r="AZ50" s="37"/>
      <c r="BA50" s="37"/>
      <c r="BB50" s="37"/>
      <c r="BC50" s="37"/>
    </row>
    <row r="51" spans="1:55" x14ac:dyDescent="0.25">
      <c r="A51" s="37"/>
      <c r="B51" s="37"/>
      <c r="C51" s="37"/>
      <c r="D51" s="95"/>
      <c r="E51" s="95"/>
      <c r="F51" s="95"/>
      <c r="G51" s="95"/>
      <c r="H51" s="95"/>
      <c r="I51" s="95"/>
      <c r="J51" s="95"/>
      <c r="K51" s="95"/>
      <c r="L51" s="95"/>
      <c r="M51" s="95"/>
      <c r="N51" s="95"/>
      <c r="O51" s="95"/>
      <c r="P51" s="95"/>
      <c r="Q51" s="95"/>
      <c r="R51" s="95"/>
      <c r="S51" s="95"/>
      <c r="T51" s="95"/>
      <c r="U51" s="95"/>
      <c r="V51" s="95"/>
      <c r="W51" s="95"/>
      <c r="X51" s="95"/>
      <c r="Y51" s="95"/>
      <c r="Z51" s="95"/>
      <c r="AA51" s="95"/>
      <c r="AB51" s="95"/>
      <c r="AC51" s="95"/>
      <c r="AD51" s="95"/>
      <c r="AE51" s="95"/>
      <c r="AF51" s="95"/>
      <c r="AG51" s="95"/>
      <c r="AH51" s="95"/>
      <c r="AI51" s="95"/>
      <c r="AJ51" s="95"/>
      <c r="AK51" s="37"/>
      <c r="AL51" s="37"/>
      <c r="AM51" s="37"/>
      <c r="AN51" s="37"/>
      <c r="AO51" s="37"/>
      <c r="AP51" s="37"/>
      <c r="AQ51" s="37"/>
      <c r="AR51" s="37"/>
      <c r="AS51" s="37"/>
      <c r="AT51" s="37"/>
      <c r="AU51" s="37"/>
      <c r="AV51" s="37"/>
      <c r="AW51" s="37"/>
      <c r="AX51" s="37"/>
      <c r="AY51" s="37"/>
      <c r="AZ51" s="37"/>
      <c r="BA51" s="37"/>
      <c r="BB51" s="37"/>
      <c r="BC51" s="37"/>
    </row>
    <row r="52" spans="1:55" x14ac:dyDescent="0.25">
      <c r="A52" s="37"/>
      <c r="B52" s="37"/>
      <c r="C52" s="37"/>
      <c r="D52" s="95"/>
      <c r="E52" s="95"/>
      <c r="F52" s="95"/>
      <c r="G52" s="95"/>
      <c r="H52" s="95"/>
      <c r="I52" s="95"/>
      <c r="J52" s="95"/>
      <c r="K52" s="95"/>
      <c r="L52" s="95"/>
      <c r="M52" s="95"/>
      <c r="N52" s="95"/>
      <c r="O52" s="95"/>
      <c r="P52" s="95"/>
      <c r="Q52" s="95"/>
      <c r="R52" s="95"/>
      <c r="S52" s="95"/>
      <c r="T52" s="95"/>
      <c r="U52" s="95"/>
      <c r="V52" s="95"/>
      <c r="W52" s="95"/>
      <c r="X52" s="95"/>
      <c r="Y52" s="95"/>
      <c r="Z52" s="95"/>
      <c r="AA52" s="95"/>
      <c r="AB52" s="95"/>
      <c r="AC52" s="95"/>
      <c r="AD52" s="95"/>
      <c r="AE52" s="95"/>
      <c r="AF52" s="95"/>
      <c r="AG52" s="95"/>
      <c r="AH52" s="95"/>
      <c r="AI52" s="95"/>
      <c r="AJ52" s="95"/>
      <c r="AK52" s="37"/>
      <c r="AL52" s="37"/>
      <c r="AM52" s="37"/>
      <c r="AN52" s="37"/>
      <c r="AO52" s="37"/>
      <c r="AP52" s="37"/>
      <c r="AQ52" s="37"/>
      <c r="AR52" s="37"/>
      <c r="AS52" s="37"/>
      <c r="AT52" s="37"/>
      <c r="AU52" s="37"/>
      <c r="AV52" s="37"/>
      <c r="AW52" s="37"/>
      <c r="AX52" s="37"/>
      <c r="AY52" s="37"/>
      <c r="AZ52" s="37"/>
      <c r="BA52" s="37"/>
      <c r="BB52" s="37"/>
      <c r="BC52" s="37"/>
    </row>
    <row r="53" spans="1:55" x14ac:dyDescent="0.25">
      <c r="A53" s="37"/>
      <c r="B53" s="37"/>
      <c r="C53" s="37"/>
      <c r="D53" s="95"/>
      <c r="E53" s="95"/>
      <c r="F53" s="95"/>
      <c r="G53" s="95"/>
      <c r="H53" s="95"/>
      <c r="I53" s="95"/>
      <c r="J53" s="95"/>
      <c r="K53" s="95"/>
      <c r="L53" s="95"/>
      <c r="M53" s="95"/>
      <c r="N53" s="95"/>
      <c r="O53" s="95"/>
      <c r="P53" s="95"/>
      <c r="Q53" s="95"/>
      <c r="R53" s="95"/>
      <c r="S53" s="95"/>
      <c r="T53" s="95"/>
      <c r="U53" s="95"/>
      <c r="V53" s="95"/>
      <c r="W53" s="95"/>
      <c r="X53" s="95"/>
      <c r="Y53" s="95"/>
      <c r="Z53" s="95"/>
      <c r="AA53" s="95"/>
      <c r="AB53" s="95"/>
      <c r="AC53" s="95"/>
      <c r="AD53" s="95"/>
      <c r="AE53" s="95"/>
      <c r="AF53" s="95"/>
      <c r="AG53" s="95"/>
      <c r="AH53" s="95"/>
      <c r="AI53" s="95"/>
      <c r="AJ53" s="95"/>
      <c r="AK53" s="37"/>
      <c r="AL53" s="37"/>
      <c r="AM53" s="37"/>
      <c r="AN53" s="37"/>
      <c r="AO53" s="37"/>
      <c r="AP53" s="37"/>
      <c r="AQ53" s="37"/>
      <c r="AR53" s="37"/>
      <c r="AS53" s="37"/>
      <c r="AT53" s="37"/>
      <c r="AU53" s="37"/>
      <c r="AV53" s="37"/>
      <c r="AW53" s="37"/>
      <c r="AX53" s="37"/>
      <c r="AY53" s="37"/>
      <c r="AZ53" s="37"/>
      <c r="BA53" s="37"/>
      <c r="BB53" s="37"/>
      <c r="BC53" s="37"/>
    </row>
    <row r="54" spans="1:55" x14ac:dyDescent="0.25">
      <c r="A54" s="37"/>
      <c r="B54" s="37"/>
      <c r="C54" s="37"/>
      <c r="D54" s="95"/>
      <c r="E54" s="95"/>
      <c r="F54" s="95"/>
      <c r="G54" s="95"/>
      <c r="H54" s="95"/>
      <c r="I54" s="95"/>
      <c r="J54" s="95"/>
      <c r="K54" s="95"/>
      <c r="L54" s="95"/>
      <c r="M54" s="95"/>
      <c r="N54" s="95"/>
      <c r="O54" s="95"/>
      <c r="P54" s="95"/>
      <c r="Q54" s="95"/>
      <c r="R54" s="95"/>
      <c r="S54" s="95"/>
      <c r="T54" s="95"/>
      <c r="U54" s="95"/>
      <c r="V54" s="95"/>
      <c r="W54" s="95"/>
      <c r="X54" s="95"/>
      <c r="Y54" s="95"/>
      <c r="Z54" s="95"/>
      <c r="AA54" s="95"/>
      <c r="AB54" s="95"/>
      <c r="AC54" s="95"/>
      <c r="AD54" s="95"/>
      <c r="AE54" s="95"/>
      <c r="AF54" s="95"/>
      <c r="AG54" s="95"/>
      <c r="AH54" s="95"/>
      <c r="AI54" s="95"/>
      <c r="AJ54" s="95"/>
      <c r="AK54" s="37"/>
      <c r="AL54" s="37"/>
      <c r="AM54" s="37"/>
      <c r="AN54" s="37"/>
      <c r="AO54" s="37"/>
      <c r="AP54" s="37"/>
      <c r="AQ54" s="37"/>
      <c r="AR54" s="37"/>
      <c r="AS54" s="37"/>
      <c r="AT54" s="37"/>
      <c r="AU54" s="37"/>
      <c r="AV54" s="37"/>
      <c r="AW54" s="37"/>
      <c r="AX54" s="37"/>
      <c r="AY54" s="37"/>
      <c r="AZ54" s="37"/>
      <c r="BA54" s="37"/>
      <c r="BB54" s="37"/>
      <c r="BC54" s="37"/>
    </row>
    <row r="55" spans="1:55" x14ac:dyDescent="0.25">
      <c r="A55" s="37"/>
      <c r="B55" s="37"/>
      <c r="C55" s="37"/>
      <c r="D55" s="95"/>
      <c r="E55" s="95"/>
      <c r="F55" s="95"/>
      <c r="G55" s="95"/>
      <c r="H55" s="95"/>
      <c r="I55" s="95"/>
      <c r="J55" s="95"/>
      <c r="K55" s="95"/>
      <c r="L55" s="95"/>
      <c r="M55" s="95"/>
      <c r="N55" s="95"/>
      <c r="O55" s="95"/>
      <c r="P55" s="95"/>
      <c r="Q55" s="95"/>
      <c r="R55" s="95"/>
      <c r="S55" s="95"/>
      <c r="T55" s="95"/>
      <c r="U55" s="95"/>
      <c r="V55" s="95"/>
      <c r="W55" s="95"/>
      <c r="X55" s="95"/>
      <c r="Y55" s="95"/>
      <c r="Z55" s="95"/>
      <c r="AA55" s="95"/>
      <c r="AB55" s="95"/>
      <c r="AC55" s="95"/>
      <c r="AD55" s="95"/>
      <c r="AE55" s="95"/>
      <c r="AF55" s="95"/>
      <c r="AG55" s="95"/>
      <c r="AH55" s="95"/>
      <c r="AI55" s="95"/>
      <c r="AJ55" s="95"/>
      <c r="AK55" s="37"/>
      <c r="AL55" s="37"/>
      <c r="AM55" s="37"/>
      <c r="AN55" s="37"/>
      <c r="AO55" s="37"/>
      <c r="AP55" s="37"/>
      <c r="AQ55" s="37"/>
      <c r="AR55" s="37"/>
      <c r="AS55" s="37"/>
      <c r="AT55" s="37"/>
      <c r="AU55" s="37"/>
      <c r="AV55" s="37"/>
      <c r="AW55" s="37"/>
      <c r="AX55" s="37"/>
      <c r="AY55" s="37"/>
      <c r="AZ55" s="37"/>
      <c r="BA55" s="37"/>
      <c r="BB55" s="37"/>
      <c r="BC55" s="37"/>
    </row>
    <row r="56" spans="1:55" x14ac:dyDescent="0.25">
      <c r="A56" s="37"/>
      <c r="B56" s="37"/>
      <c r="C56" s="37"/>
      <c r="D56" s="95"/>
      <c r="E56" s="95"/>
      <c r="F56" s="95"/>
      <c r="G56" s="95"/>
      <c r="H56" s="95"/>
      <c r="I56" s="95"/>
      <c r="J56" s="95"/>
      <c r="K56" s="95"/>
      <c r="L56" s="95"/>
      <c r="M56" s="95"/>
      <c r="N56" s="95"/>
      <c r="O56" s="95"/>
      <c r="P56" s="95"/>
      <c r="Q56" s="95"/>
      <c r="R56" s="95"/>
      <c r="S56" s="95"/>
      <c r="T56" s="95"/>
      <c r="U56" s="95"/>
      <c r="V56" s="95"/>
      <c r="W56" s="95"/>
      <c r="X56" s="95"/>
      <c r="Y56" s="95"/>
      <c r="Z56" s="95"/>
      <c r="AA56" s="95"/>
      <c r="AB56" s="95"/>
      <c r="AC56" s="95"/>
      <c r="AD56" s="95"/>
      <c r="AE56" s="95"/>
      <c r="AF56" s="95"/>
      <c r="AG56" s="95"/>
      <c r="AH56" s="95"/>
      <c r="AI56" s="95"/>
      <c r="AJ56" s="95"/>
      <c r="AK56" s="37"/>
      <c r="AL56" s="37"/>
      <c r="AM56" s="37"/>
      <c r="AN56" s="37"/>
      <c r="AO56" s="37"/>
      <c r="AP56" s="37"/>
      <c r="AQ56" s="37"/>
      <c r="AR56" s="37"/>
      <c r="AS56" s="37"/>
      <c r="AT56" s="37"/>
      <c r="AU56" s="37"/>
      <c r="AV56" s="37"/>
      <c r="AW56" s="37"/>
      <c r="AX56" s="37"/>
      <c r="AY56" s="37"/>
      <c r="AZ56" s="37"/>
      <c r="BA56" s="37"/>
      <c r="BB56" s="37"/>
      <c r="BC56" s="37"/>
    </row>
    <row r="57" spans="1:55" x14ac:dyDescent="0.25">
      <c r="A57" s="37"/>
      <c r="B57" s="37"/>
      <c r="C57" s="37"/>
      <c r="D57" s="95"/>
      <c r="E57" s="95"/>
      <c r="F57" s="95"/>
      <c r="G57" s="95"/>
      <c r="H57" s="95"/>
      <c r="I57" s="95"/>
      <c r="J57" s="95"/>
      <c r="K57" s="95"/>
      <c r="L57" s="95"/>
      <c r="M57" s="95"/>
      <c r="N57" s="95"/>
      <c r="O57" s="95"/>
      <c r="P57" s="95"/>
      <c r="Q57" s="95"/>
      <c r="R57" s="95"/>
      <c r="S57" s="95"/>
      <c r="T57" s="95"/>
      <c r="U57" s="95"/>
      <c r="V57" s="95"/>
      <c r="W57" s="95"/>
      <c r="X57" s="95"/>
      <c r="Y57" s="95"/>
      <c r="Z57" s="95"/>
      <c r="AA57" s="95"/>
      <c r="AB57" s="95"/>
      <c r="AC57" s="95"/>
      <c r="AD57" s="95"/>
      <c r="AE57" s="95"/>
      <c r="AF57" s="95"/>
      <c r="AG57" s="95"/>
      <c r="AH57" s="95"/>
      <c r="AI57" s="95"/>
      <c r="AJ57" s="95"/>
      <c r="AK57" s="37"/>
      <c r="AL57" s="37"/>
      <c r="AM57" s="37"/>
      <c r="AN57" s="37"/>
      <c r="AO57" s="37"/>
      <c r="AP57" s="37"/>
      <c r="AQ57" s="37"/>
      <c r="AR57" s="37"/>
      <c r="AS57" s="37"/>
      <c r="AT57" s="37"/>
      <c r="AU57" s="37"/>
      <c r="AV57" s="37"/>
      <c r="AW57" s="37"/>
      <c r="AX57" s="37"/>
      <c r="AY57" s="37"/>
      <c r="AZ57" s="37"/>
      <c r="BA57" s="37"/>
      <c r="BB57" s="37"/>
      <c r="BC57" s="37"/>
    </row>
    <row r="58" spans="1:55" x14ac:dyDescent="0.25">
      <c r="A58" s="37"/>
      <c r="B58" s="37"/>
      <c r="C58" s="37"/>
      <c r="D58" s="95"/>
      <c r="E58" s="95"/>
      <c r="F58" s="95"/>
      <c r="G58" s="95"/>
      <c r="H58" s="95"/>
      <c r="I58" s="95"/>
      <c r="J58" s="95"/>
      <c r="K58" s="95"/>
      <c r="L58" s="95"/>
      <c r="M58" s="95"/>
      <c r="N58" s="95"/>
      <c r="O58" s="95"/>
      <c r="P58" s="95"/>
      <c r="Q58" s="95"/>
      <c r="R58" s="95"/>
      <c r="S58" s="95"/>
      <c r="T58" s="95"/>
      <c r="U58" s="95"/>
      <c r="V58" s="95"/>
      <c r="W58" s="95"/>
      <c r="X58" s="95"/>
      <c r="Y58" s="95"/>
      <c r="Z58" s="95"/>
      <c r="AA58" s="95"/>
      <c r="AB58" s="95"/>
      <c r="AC58" s="95"/>
      <c r="AD58" s="95"/>
      <c r="AE58" s="95"/>
      <c r="AF58" s="95"/>
      <c r="AG58" s="95"/>
      <c r="AH58" s="95"/>
      <c r="AI58" s="95"/>
      <c r="AJ58" s="95"/>
      <c r="AK58" s="37"/>
      <c r="AL58" s="37"/>
      <c r="AM58" s="37"/>
      <c r="AN58" s="37"/>
      <c r="AO58" s="37"/>
      <c r="AP58" s="37"/>
      <c r="AQ58" s="37"/>
      <c r="AR58" s="37"/>
      <c r="AS58" s="37"/>
      <c r="AT58" s="37"/>
      <c r="AU58" s="37"/>
      <c r="AV58" s="37"/>
      <c r="AW58" s="37"/>
      <c r="AX58" s="37"/>
      <c r="AY58" s="37"/>
      <c r="AZ58" s="37"/>
      <c r="BA58" s="37"/>
      <c r="BB58" s="37"/>
      <c r="BC58" s="37"/>
    </row>
    <row r="59" spans="1:55" x14ac:dyDescent="0.25">
      <c r="A59" s="37"/>
      <c r="B59" s="37"/>
      <c r="C59" s="37"/>
      <c r="D59" s="95"/>
      <c r="E59" s="95"/>
      <c r="F59" s="95"/>
      <c r="G59" s="95"/>
      <c r="H59" s="95"/>
      <c r="I59" s="95"/>
      <c r="J59" s="95"/>
      <c r="K59" s="95"/>
      <c r="L59" s="95"/>
      <c r="M59" s="95"/>
      <c r="N59" s="95"/>
      <c r="O59" s="95"/>
      <c r="P59" s="95"/>
      <c r="Q59" s="95"/>
      <c r="R59" s="95"/>
      <c r="S59" s="95"/>
      <c r="T59" s="95"/>
      <c r="U59" s="95"/>
      <c r="V59" s="95"/>
      <c r="W59" s="95"/>
      <c r="X59" s="95"/>
      <c r="Y59" s="95"/>
      <c r="Z59" s="95"/>
      <c r="AA59" s="95"/>
      <c r="AB59" s="95"/>
      <c r="AC59" s="95"/>
      <c r="AD59" s="95"/>
      <c r="AE59" s="95"/>
      <c r="AF59" s="95"/>
      <c r="AG59" s="95"/>
      <c r="AH59" s="95"/>
      <c r="AI59" s="95"/>
      <c r="AJ59" s="95"/>
      <c r="AK59" s="37"/>
      <c r="AL59" s="37"/>
      <c r="AM59" s="37"/>
      <c r="AN59" s="37"/>
      <c r="AO59" s="37"/>
      <c r="AP59" s="37"/>
      <c r="AQ59" s="37"/>
      <c r="AR59" s="37"/>
      <c r="AS59" s="37"/>
      <c r="AT59" s="37"/>
      <c r="AU59" s="37"/>
      <c r="AV59" s="37"/>
      <c r="AW59" s="37"/>
      <c r="AX59" s="37"/>
      <c r="AY59" s="37"/>
      <c r="AZ59" s="37"/>
      <c r="BA59" s="37"/>
      <c r="BB59" s="37"/>
      <c r="BC59" s="37"/>
    </row>
    <row r="60" spans="1:55" x14ac:dyDescent="0.25">
      <c r="A60" s="37"/>
      <c r="B60" s="37"/>
      <c r="C60" s="37"/>
      <c r="D60" s="95"/>
      <c r="E60" s="95"/>
      <c r="F60" s="95"/>
      <c r="G60" s="95"/>
      <c r="H60" s="95"/>
      <c r="I60" s="95"/>
      <c r="J60" s="95"/>
      <c r="K60" s="95"/>
      <c r="L60" s="95"/>
      <c r="M60" s="95"/>
      <c r="N60" s="95"/>
      <c r="O60" s="95"/>
      <c r="P60" s="95"/>
      <c r="Q60" s="95"/>
      <c r="R60" s="95"/>
      <c r="S60" s="95"/>
      <c r="T60" s="95"/>
      <c r="U60" s="95"/>
      <c r="V60" s="95"/>
      <c r="W60" s="95"/>
      <c r="X60" s="95"/>
      <c r="Y60" s="95"/>
      <c r="Z60" s="95"/>
      <c r="AA60" s="95"/>
      <c r="AB60" s="95"/>
      <c r="AC60" s="95"/>
      <c r="AD60" s="95"/>
      <c r="AE60" s="95"/>
      <c r="AF60" s="95"/>
      <c r="AG60" s="95"/>
      <c r="AH60" s="95"/>
      <c r="AI60" s="95"/>
      <c r="AJ60" s="95"/>
      <c r="AK60" s="37"/>
      <c r="AL60" s="37"/>
      <c r="AM60" s="37"/>
      <c r="AN60" s="37"/>
      <c r="AO60" s="37"/>
      <c r="AP60" s="37"/>
      <c r="AQ60" s="37"/>
      <c r="AR60" s="37"/>
      <c r="AS60" s="37"/>
      <c r="AT60" s="37"/>
      <c r="AU60" s="37"/>
      <c r="AV60" s="37"/>
      <c r="AW60" s="37"/>
      <c r="AX60" s="37"/>
      <c r="AY60" s="37"/>
      <c r="AZ60" s="37"/>
      <c r="BA60" s="37"/>
      <c r="BB60" s="37"/>
      <c r="BC60" s="37"/>
    </row>
    <row r="61" spans="1:55" x14ac:dyDescent="0.25">
      <c r="A61" s="37"/>
      <c r="B61" s="37"/>
      <c r="C61" s="37"/>
      <c r="D61" s="95"/>
      <c r="E61" s="95"/>
      <c r="F61" s="95"/>
      <c r="G61" s="95"/>
      <c r="H61" s="95"/>
      <c r="I61" s="95"/>
      <c r="J61" s="95"/>
      <c r="K61" s="95"/>
      <c r="L61" s="95"/>
      <c r="M61" s="95"/>
      <c r="N61" s="95"/>
      <c r="O61" s="95"/>
      <c r="P61" s="95"/>
      <c r="Q61" s="95"/>
      <c r="R61" s="95"/>
      <c r="S61" s="95"/>
      <c r="T61" s="95"/>
      <c r="U61" s="95"/>
      <c r="V61" s="95"/>
      <c r="W61" s="95"/>
      <c r="X61" s="95"/>
      <c r="Y61" s="95"/>
      <c r="Z61" s="95"/>
      <c r="AA61" s="95"/>
      <c r="AB61" s="95"/>
      <c r="AC61" s="95"/>
      <c r="AD61" s="95"/>
      <c r="AE61" s="95"/>
      <c r="AF61" s="95"/>
      <c r="AG61" s="95"/>
      <c r="AH61" s="95"/>
      <c r="AI61" s="95"/>
      <c r="AJ61" s="95"/>
      <c r="AK61" s="37"/>
      <c r="AL61" s="37"/>
      <c r="AM61" s="37"/>
      <c r="AN61" s="37"/>
      <c r="AO61" s="37"/>
      <c r="AP61" s="37"/>
      <c r="AQ61" s="37"/>
      <c r="AR61" s="37"/>
      <c r="AS61" s="37"/>
      <c r="AT61" s="37"/>
      <c r="AU61" s="37"/>
      <c r="AV61" s="37"/>
      <c r="AW61" s="37"/>
      <c r="AX61" s="37"/>
      <c r="AY61" s="37"/>
      <c r="AZ61" s="37"/>
      <c r="BA61" s="37"/>
      <c r="BB61" s="37"/>
      <c r="BC61" s="37"/>
    </row>
    <row r="62" spans="1:55" x14ac:dyDescent="0.25">
      <c r="A62" s="37"/>
      <c r="B62" s="37"/>
      <c r="C62" s="37"/>
      <c r="D62" s="95"/>
      <c r="E62" s="95"/>
      <c r="F62" s="95"/>
      <c r="G62" s="95"/>
      <c r="H62" s="95"/>
      <c r="I62" s="95"/>
      <c r="J62" s="95"/>
      <c r="K62" s="95"/>
      <c r="L62" s="95"/>
      <c r="Z62" s="95"/>
      <c r="AA62" s="95"/>
      <c r="AB62" s="95"/>
      <c r="AC62" s="95"/>
      <c r="AD62" s="95"/>
      <c r="AE62" s="95"/>
      <c r="AF62" s="95"/>
      <c r="AG62" s="95"/>
      <c r="AH62" s="95"/>
      <c r="AI62" s="95"/>
      <c r="AJ62" s="95"/>
      <c r="AK62" s="37"/>
      <c r="AL62" s="37"/>
      <c r="AM62" s="37"/>
      <c r="AN62" s="37"/>
      <c r="AO62" s="37"/>
      <c r="AP62" s="37"/>
      <c r="AQ62" s="37"/>
      <c r="AR62" s="37"/>
      <c r="AS62" s="37"/>
      <c r="AT62" s="37"/>
      <c r="AU62" s="37"/>
      <c r="AV62" s="37"/>
      <c r="AW62" s="37"/>
      <c r="AX62" s="37"/>
      <c r="AY62" s="37"/>
      <c r="AZ62" s="37"/>
      <c r="BA62" s="37"/>
      <c r="BB62" s="37"/>
      <c r="BC62" s="37"/>
    </row>
    <row r="63" spans="1:55" x14ac:dyDescent="0.25">
      <c r="A63" s="37"/>
      <c r="B63" s="37"/>
      <c r="C63" s="37"/>
      <c r="D63" s="95"/>
      <c r="E63" s="95"/>
      <c r="F63" s="95"/>
      <c r="G63" s="95"/>
      <c r="H63" s="95"/>
      <c r="I63" s="95"/>
      <c r="J63" s="95"/>
      <c r="K63" s="95"/>
      <c r="L63" s="95"/>
      <c r="Z63" s="95"/>
      <c r="AA63" s="95"/>
      <c r="AB63" s="95"/>
      <c r="AC63" s="95"/>
      <c r="AD63" s="95"/>
      <c r="AE63" s="95"/>
      <c r="AF63" s="95"/>
      <c r="AG63" s="95"/>
      <c r="AH63" s="95"/>
      <c r="AI63" s="95"/>
      <c r="AJ63" s="95"/>
      <c r="AK63" s="37"/>
      <c r="AL63" s="37"/>
      <c r="AM63" s="37"/>
      <c r="AN63" s="37"/>
      <c r="AO63" s="37"/>
      <c r="AP63" s="37"/>
      <c r="AQ63" s="37"/>
      <c r="AR63" s="37"/>
      <c r="AS63" s="37"/>
      <c r="AT63" s="37"/>
      <c r="AU63" s="37"/>
      <c r="AV63" s="37"/>
      <c r="AW63" s="37"/>
      <c r="AX63" s="37"/>
      <c r="AY63" s="37"/>
      <c r="AZ63" s="37"/>
      <c r="BA63" s="37"/>
      <c r="BB63" s="37"/>
      <c r="BC63" s="37"/>
    </row>
    <row r="64" spans="1:55" x14ac:dyDescent="0.25">
      <c r="A64" s="37"/>
      <c r="B64" s="37"/>
      <c r="C64" s="37"/>
      <c r="D64" s="95"/>
      <c r="E64" s="95"/>
      <c r="F64" s="95"/>
      <c r="G64" s="95"/>
      <c r="H64" s="95"/>
      <c r="I64" s="95"/>
      <c r="J64" s="95"/>
      <c r="K64" s="95"/>
      <c r="L64" s="95"/>
      <c r="M64" s="95"/>
      <c r="N64" s="95"/>
      <c r="O64" s="95"/>
      <c r="P64" s="95"/>
      <c r="Q64" s="95"/>
      <c r="R64" s="95"/>
      <c r="S64" s="95"/>
      <c r="T64" s="95"/>
      <c r="U64" s="95"/>
      <c r="V64" s="95"/>
      <c r="W64" s="95"/>
      <c r="X64" s="95"/>
      <c r="Y64" s="95"/>
      <c r="Z64" s="95"/>
      <c r="AA64" s="95"/>
      <c r="AB64" s="95"/>
      <c r="AC64" s="95"/>
      <c r="AD64" s="95"/>
      <c r="AE64" s="95"/>
      <c r="AF64" s="95"/>
      <c r="AG64" s="95"/>
      <c r="AH64" s="95"/>
      <c r="AI64" s="95"/>
      <c r="AJ64" s="95"/>
      <c r="AK64" s="37"/>
      <c r="AL64" s="37"/>
      <c r="AM64" s="37"/>
      <c r="AN64" s="37"/>
      <c r="AO64" s="37"/>
      <c r="AP64" s="37"/>
      <c r="AQ64" s="37"/>
      <c r="AR64" s="37"/>
      <c r="AS64" s="37"/>
      <c r="AT64" s="37"/>
      <c r="AU64" s="37"/>
      <c r="AV64" s="37"/>
      <c r="AW64" s="37"/>
      <c r="AX64" s="37"/>
      <c r="AY64" s="37"/>
      <c r="AZ64" s="37"/>
      <c r="BA64" s="37"/>
      <c r="BB64" s="37"/>
      <c r="BC64" s="37"/>
    </row>
    <row r="65" spans="1:55" x14ac:dyDescent="0.25">
      <c r="A65" s="37"/>
      <c r="B65" s="37"/>
      <c r="C65" s="37"/>
      <c r="D65" s="95"/>
      <c r="E65" s="95"/>
      <c r="F65" s="95"/>
      <c r="G65" s="95"/>
      <c r="H65" s="95"/>
      <c r="I65" s="95"/>
      <c r="J65" s="95"/>
      <c r="K65" s="95"/>
      <c r="L65" s="95"/>
      <c r="M65" s="95"/>
      <c r="N65" s="95"/>
      <c r="O65" s="95"/>
      <c r="P65" s="95"/>
      <c r="Q65" s="95"/>
      <c r="R65" s="95"/>
      <c r="S65" s="95"/>
      <c r="T65" s="95"/>
      <c r="U65" s="95"/>
      <c r="V65" s="95"/>
      <c r="W65" s="95"/>
      <c r="X65" s="95"/>
      <c r="Y65" s="95"/>
      <c r="Z65" s="95"/>
      <c r="AA65" s="95"/>
      <c r="AB65" s="95"/>
      <c r="AC65" s="95"/>
      <c r="AD65" s="95"/>
      <c r="AE65" s="95"/>
      <c r="AF65" s="95"/>
      <c r="AG65" s="95"/>
      <c r="AH65" s="95"/>
      <c r="AI65" s="95"/>
      <c r="AJ65" s="95"/>
      <c r="AK65" s="37"/>
      <c r="AL65" s="37"/>
      <c r="AM65" s="37"/>
      <c r="AN65" s="37"/>
      <c r="AO65" s="37"/>
      <c r="AP65" s="37"/>
      <c r="AQ65" s="37"/>
      <c r="AR65" s="37"/>
      <c r="AS65" s="37"/>
      <c r="AT65" s="37"/>
      <c r="AU65" s="37"/>
      <c r="AV65" s="37"/>
      <c r="AW65" s="37"/>
      <c r="AX65" s="37"/>
      <c r="AY65" s="37"/>
      <c r="AZ65" s="37"/>
      <c r="BA65" s="37"/>
      <c r="BB65" s="37"/>
      <c r="BC65" s="37"/>
    </row>
    <row r="66" spans="1:55" x14ac:dyDescent="0.25">
      <c r="A66" s="37"/>
      <c r="B66" s="37"/>
      <c r="C66" s="37"/>
      <c r="D66" s="95"/>
      <c r="E66" s="95"/>
      <c r="F66" s="95"/>
      <c r="G66" s="95"/>
      <c r="H66" s="95"/>
      <c r="I66" s="95"/>
      <c r="J66" s="95"/>
      <c r="K66" s="95"/>
      <c r="L66" s="95"/>
      <c r="M66" s="95"/>
      <c r="N66" s="95"/>
      <c r="O66" s="95"/>
      <c r="P66" s="95"/>
      <c r="Q66" s="95"/>
      <c r="R66" s="95"/>
      <c r="S66" s="95"/>
      <c r="T66" s="95"/>
      <c r="U66" s="95"/>
      <c r="V66" s="95"/>
      <c r="W66" s="95"/>
      <c r="X66" s="95"/>
      <c r="Y66" s="95"/>
      <c r="Z66" s="95"/>
      <c r="AA66" s="95"/>
      <c r="AB66" s="95"/>
      <c r="AC66" s="95"/>
      <c r="AD66" s="95"/>
      <c r="AE66" s="95"/>
      <c r="AF66" s="95"/>
      <c r="AG66" s="95"/>
      <c r="AH66" s="95"/>
      <c r="AI66" s="95"/>
      <c r="AJ66" s="95"/>
      <c r="AK66" s="37"/>
      <c r="AL66" s="37"/>
      <c r="AM66" s="37"/>
      <c r="AN66" s="37"/>
      <c r="AO66" s="37"/>
      <c r="AP66" s="37"/>
      <c r="AQ66" s="37"/>
      <c r="AR66" s="37"/>
      <c r="AS66" s="37"/>
      <c r="AT66" s="37"/>
      <c r="AU66" s="37"/>
      <c r="AV66" s="37"/>
      <c r="AW66" s="37"/>
      <c r="AX66" s="37"/>
      <c r="AY66" s="37"/>
      <c r="AZ66" s="37"/>
      <c r="BA66" s="37"/>
      <c r="BB66" s="37"/>
      <c r="BC66" s="37"/>
    </row>
    <row r="67" spans="1:55" x14ac:dyDescent="0.25">
      <c r="A67" s="37"/>
      <c r="B67" s="37"/>
      <c r="C67" s="37"/>
      <c r="D67" s="95"/>
      <c r="E67" s="95"/>
      <c r="F67" s="95"/>
      <c r="G67" s="95"/>
      <c r="H67" s="95"/>
      <c r="I67" s="95"/>
      <c r="J67" s="95"/>
      <c r="K67" s="95"/>
      <c r="L67" s="95"/>
      <c r="M67" s="95"/>
      <c r="N67" s="95"/>
      <c r="O67" s="95"/>
      <c r="P67" s="95"/>
      <c r="Q67" s="95"/>
      <c r="R67" s="95"/>
      <c r="S67" s="95"/>
      <c r="T67" s="95"/>
      <c r="U67" s="95"/>
      <c r="V67" s="95"/>
      <c r="W67" s="95"/>
      <c r="X67" s="95"/>
      <c r="Y67" s="95"/>
      <c r="Z67" s="95"/>
      <c r="AA67" s="95"/>
      <c r="AB67" s="95"/>
      <c r="AC67" s="95"/>
      <c r="AD67" s="95"/>
      <c r="AE67" s="95"/>
      <c r="AF67" s="95"/>
      <c r="AG67" s="95"/>
      <c r="AH67" s="95"/>
      <c r="AI67" s="95"/>
      <c r="AJ67" s="95"/>
      <c r="AK67" s="37"/>
      <c r="AL67" s="37"/>
      <c r="AM67" s="37"/>
      <c r="AN67" s="37"/>
      <c r="AO67" s="37"/>
      <c r="AP67" s="37"/>
      <c r="AQ67" s="37"/>
      <c r="AR67" s="37"/>
      <c r="AS67" s="37"/>
      <c r="AT67" s="37"/>
      <c r="AU67" s="37"/>
      <c r="AV67" s="37"/>
      <c r="AW67" s="37"/>
      <c r="AX67" s="37"/>
      <c r="AY67" s="37"/>
      <c r="AZ67" s="37"/>
      <c r="BA67" s="37"/>
      <c r="BB67" s="37"/>
      <c r="BC67" s="37"/>
    </row>
    <row r="68" spans="1:55" x14ac:dyDescent="0.25">
      <c r="A68" s="37"/>
      <c r="B68" s="37"/>
      <c r="C68" s="37"/>
      <c r="D68" s="95"/>
      <c r="E68" s="95"/>
      <c r="F68" s="95"/>
      <c r="G68" s="95"/>
      <c r="H68" s="95"/>
      <c r="I68" s="95"/>
      <c r="J68" s="95"/>
      <c r="K68" s="95"/>
      <c r="L68" s="95"/>
      <c r="M68" s="95"/>
      <c r="N68" s="95"/>
      <c r="O68" s="95"/>
      <c r="P68" s="95"/>
      <c r="Q68" s="95"/>
      <c r="R68" s="95"/>
      <c r="S68" s="95"/>
      <c r="T68" s="95"/>
      <c r="U68" s="95"/>
      <c r="V68" s="95"/>
      <c r="W68" s="95"/>
      <c r="X68" s="95"/>
      <c r="Y68" s="95"/>
      <c r="Z68" s="95"/>
      <c r="AA68" s="95"/>
      <c r="AB68" s="95"/>
      <c r="AC68" s="95"/>
      <c r="AD68" s="95"/>
      <c r="AE68" s="95"/>
      <c r="AF68" s="95"/>
      <c r="AG68" s="95"/>
      <c r="AH68" s="95"/>
      <c r="AI68" s="95"/>
      <c r="AJ68" s="95"/>
      <c r="AK68" s="37"/>
      <c r="AL68" s="37"/>
      <c r="AM68" s="37"/>
      <c r="AN68" s="37"/>
      <c r="AO68" s="37"/>
      <c r="AP68" s="37"/>
      <c r="AQ68" s="37"/>
      <c r="AR68" s="37"/>
      <c r="AS68" s="37"/>
      <c r="AT68" s="37"/>
      <c r="AU68" s="37"/>
      <c r="AV68" s="37"/>
      <c r="AW68" s="37"/>
      <c r="AX68" s="37"/>
      <c r="AY68" s="37"/>
      <c r="AZ68" s="37"/>
      <c r="BA68" s="37"/>
      <c r="BB68" s="37"/>
      <c r="BC68" s="37"/>
    </row>
    <row r="69" spans="1:55" x14ac:dyDescent="0.25">
      <c r="A69" s="37"/>
      <c r="B69" s="37"/>
      <c r="C69" s="37"/>
      <c r="D69" s="95"/>
      <c r="E69" s="95"/>
      <c r="F69" s="95"/>
      <c r="G69" s="95"/>
      <c r="H69" s="95"/>
      <c r="I69" s="95"/>
      <c r="J69" s="95"/>
      <c r="K69" s="95"/>
      <c r="L69" s="95"/>
      <c r="M69" s="95"/>
      <c r="N69" s="95"/>
      <c r="O69" s="95"/>
      <c r="P69" s="95"/>
      <c r="Q69" s="95"/>
      <c r="R69" s="95"/>
      <c r="S69" s="95"/>
      <c r="T69" s="95"/>
      <c r="U69" s="95"/>
      <c r="V69" s="95"/>
      <c r="W69" s="95"/>
      <c r="X69" s="95"/>
      <c r="Y69" s="95"/>
      <c r="Z69" s="95"/>
      <c r="AA69" s="95"/>
      <c r="AB69" s="95"/>
      <c r="AC69" s="95"/>
      <c r="AD69" s="95"/>
      <c r="AE69" s="95"/>
      <c r="AF69" s="95"/>
      <c r="AG69" s="95"/>
      <c r="AH69" s="95"/>
      <c r="AI69" s="95"/>
      <c r="AJ69" s="95"/>
      <c r="AK69" s="37"/>
      <c r="AL69" s="37"/>
      <c r="AM69" s="37"/>
      <c r="AN69" s="37"/>
      <c r="AO69" s="37"/>
      <c r="AP69" s="37"/>
      <c r="AQ69" s="37"/>
      <c r="AR69" s="37"/>
      <c r="AS69" s="37"/>
      <c r="AT69" s="37"/>
      <c r="AU69" s="37"/>
      <c r="AV69" s="37"/>
      <c r="AW69" s="37"/>
      <c r="AX69" s="37"/>
      <c r="AY69" s="37"/>
      <c r="AZ69" s="37"/>
      <c r="BA69" s="37"/>
      <c r="BB69" s="37"/>
      <c r="BC69" s="37"/>
    </row>
    <row r="70" spans="1:55" x14ac:dyDescent="0.25">
      <c r="A70" s="37"/>
      <c r="B70" s="37"/>
      <c r="C70" s="37"/>
      <c r="D70" s="95"/>
      <c r="E70" s="95"/>
      <c r="F70" s="95"/>
      <c r="G70" s="95"/>
      <c r="H70" s="95"/>
      <c r="I70" s="95"/>
      <c r="J70" s="95"/>
      <c r="K70" s="95"/>
      <c r="L70" s="95"/>
      <c r="M70" s="95"/>
      <c r="N70" s="95"/>
      <c r="O70" s="95"/>
      <c r="P70" s="95"/>
      <c r="Q70" s="95"/>
      <c r="R70" s="95"/>
      <c r="S70" s="95"/>
      <c r="T70" s="95"/>
      <c r="U70" s="95"/>
      <c r="V70" s="95"/>
      <c r="W70" s="95"/>
      <c r="X70" s="95"/>
      <c r="Y70" s="95"/>
      <c r="Z70" s="95"/>
      <c r="AA70" s="95"/>
      <c r="AB70" s="95"/>
      <c r="AC70" s="95"/>
      <c r="AD70" s="95"/>
      <c r="AE70" s="95"/>
      <c r="AF70" s="95"/>
      <c r="AG70" s="95"/>
      <c r="AH70" s="95"/>
      <c r="AI70" s="95"/>
      <c r="AJ70" s="95"/>
      <c r="AK70" s="37"/>
      <c r="AL70" s="37"/>
      <c r="AM70" s="37"/>
      <c r="AN70" s="37"/>
      <c r="AO70" s="37"/>
      <c r="AP70" s="37"/>
      <c r="AQ70" s="37"/>
      <c r="AR70" s="37"/>
      <c r="AS70" s="37"/>
      <c r="AT70" s="37"/>
      <c r="AU70" s="37"/>
      <c r="AV70" s="37"/>
      <c r="AW70" s="37"/>
      <c r="AX70" s="37"/>
      <c r="AY70" s="37"/>
      <c r="AZ70" s="37"/>
      <c r="BA70" s="37"/>
      <c r="BB70" s="37"/>
      <c r="BC70" s="37"/>
    </row>
    <row r="71" spans="1:55" x14ac:dyDescent="0.25">
      <c r="A71" s="37"/>
      <c r="B71" s="37"/>
      <c r="C71" s="37"/>
      <c r="D71" s="95"/>
      <c r="E71" s="95"/>
      <c r="F71" s="95"/>
      <c r="G71" s="95"/>
      <c r="H71" s="95"/>
      <c r="I71" s="95"/>
      <c r="J71" s="95"/>
      <c r="K71" s="95"/>
      <c r="L71" s="95"/>
      <c r="M71" s="95"/>
      <c r="N71" s="95"/>
      <c r="O71" s="95"/>
      <c r="P71" s="95"/>
      <c r="Q71" s="95"/>
      <c r="R71" s="95"/>
      <c r="S71" s="95"/>
      <c r="T71" s="95"/>
      <c r="U71" s="95"/>
      <c r="V71" s="95"/>
      <c r="W71" s="95"/>
      <c r="X71" s="95"/>
      <c r="Y71" s="95"/>
      <c r="Z71" s="95"/>
      <c r="AA71" s="95"/>
      <c r="AB71" s="95"/>
      <c r="AC71" s="95"/>
      <c r="AD71" s="95"/>
      <c r="AE71" s="95"/>
      <c r="AF71" s="95"/>
      <c r="AG71" s="95"/>
      <c r="AH71" s="95"/>
      <c r="AI71" s="95"/>
      <c r="AJ71" s="95"/>
      <c r="AK71" s="37"/>
      <c r="AL71" s="37"/>
      <c r="AM71" s="37"/>
      <c r="AN71" s="37"/>
      <c r="AO71" s="37"/>
      <c r="AP71" s="37"/>
      <c r="AQ71" s="37"/>
      <c r="AR71" s="37"/>
      <c r="AS71" s="37"/>
      <c r="AT71" s="37"/>
      <c r="AU71" s="37"/>
      <c r="AV71" s="37"/>
      <c r="AW71" s="37"/>
      <c r="AX71" s="37"/>
      <c r="AY71" s="37"/>
      <c r="AZ71" s="37"/>
      <c r="BA71" s="37"/>
      <c r="BB71" s="37"/>
      <c r="BC71" s="37"/>
    </row>
    <row r="72" spans="1:55" x14ac:dyDescent="0.25">
      <c r="A72" s="37"/>
      <c r="B72" s="37"/>
      <c r="C72" s="37"/>
      <c r="D72" s="95"/>
      <c r="E72" s="95"/>
      <c r="F72" s="95"/>
      <c r="G72" s="95"/>
      <c r="H72" s="95"/>
      <c r="I72" s="95"/>
      <c r="J72" s="95"/>
      <c r="K72" s="95"/>
      <c r="L72" s="95"/>
      <c r="M72" s="95"/>
      <c r="N72" s="95"/>
      <c r="O72" s="95"/>
      <c r="P72" s="95"/>
      <c r="Q72" s="95"/>
      <c r="R72" s="95"/>
      <c r="S72" s="95"/>
      <c r="T72" s="95"/>
      <c r="U72" s="95"/>
      <c r="V72" s="95"/>
      <c r="W72" s="95"/>
      <c r="X72" s="95"/>
      <c r="Y72" s="95"/>
      <c r="Z72" s="95"/>
      <c r="AA72" s="95"/>
      <c r="AB72" s="95"/>
      <c r="AC72" s="95"/>
      <c r="AD72" s="95"/>
      <c r="AE72" s="95"/>
      <c r="AF72" s="95"/>
      <c r="AG72" s="95"/>
      <c r="AH72" s="95"/>
      <c r="AI72" s="95"/>
      <c r="AJ72" s="95"/>
      <c r="AK72" s="37"/>
      <c r="AL72" s="37"/>
      <c r="AM72" s="37"/>
      <c r="AN72" s="37"/>
      <c r="AO72" s="37"/>
      <c r="AP72" s="37"/>
      <c r="AQ72" s="37"/>
      <c r="AR72" s="37"/>
      <c r="AS72" s="37"/>
      <c r="AT72" s="37"/>
      <c r="AU72" s="37"/>
      <c r="AV72" s="37"/>
      <c r="AW72" s="37"/>
      <c r="AX72" s="37"/>
      <c r="AY72" s="37"/>
      <c r="AZ72" s="37"/>
      <c r="BA72" s="37"/>
      <c r="BB72" s="37"/>
      <c r="BC72" s="37"/>
    </row>
    <row r="73" spans="1:55" x14ac:dyDescent="0.25">
      <c r="A73" s="37"/>
      <c r="B73" s="37"/>
      <c r="C73" s="37"/>
      <c r="D73" s="95"/>
      <c r="E73" s="95"/>
      <c r="F73" s="95"/>
      <c r="G73" s="95"/>
      <c r="H73" s="95"/>
      <c r="I73" s="95"/>
      <c r="J73" s="95"/>
      <c r="K73" s="95"/>
      <c r="L73" s="95"/>
      <c r="M73" s="95"/>
      <c r="N73" s="95"/>
      <c r="O73" s="95"/>
      <c r="P73" s="95"/>
      <c r="Q73" s="95"/>
      <c r="R73" s="95"/>
      <c r="S73" s="95"/>
      <c r="T73" s="95"/>
      <c r="U73" s="95"/>
      <c r="V73" s="95"/>
      <c r="W73" s="95"/>
      <c r="X73" s="95"/>
      <c r="Y73" s="95"/>
      <c r="Z73" s="95"/>
      <c r="AA73" s="95"/>
      <c r="AB73" s="95"/>
      <c r="AC73" s="95"/>
      <c r="AD73" s="95"/>
      <c r="AE73" s="95"/>
      <c r="AF73" s="95"/>
      <c r="AG73" s="95"/>
      <c r="AH73" s="95"/>
      <c r="AI73" s="95"/>
      <c r="AJ73" s="95"/>
      <c r="AK73" s="37"/>
      <c r="AL73" s="37"/>
      <c r="AM73" s="37"/>
      <c r="AN73" s="37"/>
      <c r="AO73" s="37"/>
      <c r="AP73" s="37"/>
      <c r="AQ73" s="37"/>
      <c r="AR73" s="37"/>
      <c r="AS73" s="37"/>
      <c r="AT73" s="37"/>
      <c r="AU73" s="37"/>
      <c r="AV73" s="37"/>
      <c r="AW73" s="37"/>
      <c r="AX73" s="37"/>
      <c r="AY73" s="37"/>
      <c r="AZ73" s="37"/>
      <c r="BA73" s="37"/>
      <c r="BB73" s="37"/>
      <c r="BC73" s="37"/>
    </row>
    <row r="74" spans="1:55" x14ac:dyDescent="0.25">
      <c r="A74" s="37"/>
      <c r="B74" s="37"/>
      <c r="C74" s="37"/>
      <c r="D74" s="95"/>
      <c r="E74" s="95"/>
      <c r="F74" s="95"/>
      <c r="G74" s="95"/>
      <c r="H74" s="95"/>
      <c r="I74" s="95"/>
      <c r="J74" s="95"/>
      <c r="K74" s="95"/>
      <c r="L74" s="95"/>
      <c r="M74" s="95"/>
      <c r="N74" s="95"/>
      <c r="O74" s="95"/>
      <c r="P74" s="95"/>
      <c r="Q74" s="95"/>
      <c r="R74" s="95"/>
      <c r="S74" s="95"/>
      <c r="T74" s="95"/>
      <c r="U74" s="95"/>
      <c r="V74" s="95"/>
      <c r="W74" s="95"/>
      <c r="X74" s="95"/>
      <c r="Y74" s="95"/>
      <c r="Z74" s="95"/>
      <c r="AA74" s="95"/>
      <c r="AB74" s="95"/>
      <c r="AC74" s="95"/>
      <c r="AD74" s="95"/>
      <c r="AE74" s="95"/>
      <c r="AF74" s="95"/>
      <c r="AG74" s="95"/>
      <c r="AH74" s="95"/>
      <c r="AI74" s="95"/>
      <c r="AJ74" s="95"/>
      <c r="AK74" s="37"/>
      <c r="AL74" s="37"/>
      <c r="AM74" s="37"/>
      <c r="AN74" s="37"/>
      <c r="AO74" s="37"/>
      <c r="AP74" s="37"/>
      <c r="AQ74" s="37"/>
      <c r="AR74" s="37"/>
      <c r="AS74" s="37"/>
      <c r="AT74" s="37"/>
      <c r="AU74" s="37"/>
      <c r="AV74" s="37"/>
      <c r="AW74" s="37"/>
      <c r="AX74" s="37"/>
      <c r="AY74" s="37"/>
      <c r="AZ74" s="37"/>
      <c r="BA74" s="37"/>
      <c r="BB74" s="37"/>
      <c r="BC74" s="37"/>
    </row>
    <row r="75" spans="1:55" x14ac:dyDescent="0.25">
      <c r="A75" s="37"/>
      <c r="B75" s="37"/>
      <c r="C75" s="37"/>
      <c r="D75" s="95"/>
      <c r="E75" s="95"/>
      <c r="F75" s="95"/>
      <c r="G75" s="95"/>
      <c r="H75" s="95"/>
      <c r="I75" s="95"/>
      <c r="J75" s="95"/>
      <c r="K75" s="95"/>
      <c r="L75" s="95"/>
      <c r="M75" s="95"/>
      <c r="N75" s="95"/>
      <c r="O75" s="95"/>
      <c r="P75" s="95"/>
      <c r="Q75" s="95"/>
      <c r="R75" s="95"/>
      <c r="S75" s="95"/>
      <c r="T75" s="95"/>
      <c r="U75" s="95"/>
      <c r="V75" s="95"/>
      <c r="W75" s="95"/>
      <c r="X75" s="95"/>
      <c r="Y75" s="95"/>
      <c r="Z75" s="95"/>
      <c r="AA75" s="95"/>
      <c r="AB75" s="95"/>
      <c r="AC75" s="95"/>
      <c r="AD75" s="95"/>
      <c r="AE75" s="95"/>
      <c r="AF75" s="95"/>
      <c r="AG75" s="95"/>
      <c r="AH75" s="95"/>
      <c r="AI75" s="95"/>
      <c r="AJ75" s="95"/>
      <c r="AK75" s="37"/>
      <c r="AL75" s="37"/>
      <c r="AM75" s="37"/>
      <c r="AN75" s="37"/>
      <c r="AO75" s="37"/>
      <c r="AP75" s="37"/>
      <c r="AQ75" s="37"/>
      <c r="AR75" s="37"/>
      <c r="AS75" s="37"/>
      <c r="AT75" s="37"/>
      <c r="AU75" s="37"/>
      <c r="AV75" s="37"/>
      <c r="AW75" s="37"/>
      <c r="AX75" s="37"/>
      <c r="AY75" s="37"/>
      <c r="AZ75" s="37"/>
      <c r="BA75" s="37"/>
      <c r="BB75" s="37"/>
      <c r="BC75" s="37"/>
    </row>
    <row r="76" spans="1:55" x14ac:dyDescent="0.25">
      <c r="A76" s="37"/>
      <c r="B76" s="37"/>
      <c r="C76" s="37"/>
      <c r="D76" s="95"/>
      <c r="E76" s="95"/>
      <c r="F76" s="95"/>
      <c r="G76" s="95"/>
      <c r="H76" s="95"/>
      <c r="I76" s="95"/>
      <c r="J76" s="95"/>
      <c r="K76" s="95"/>
      <c r="L76" s="95"/>
      <c r="M76" s="95"/>
      <c r="N76" s="95"/>
      <c r="O76" s="95"/>
      <c r="P76" s="95"/>
      <c r="Q76" s="95"/>
      <c r="R76" s="95"/>
      <c r="S76" s="95"/>
      <c r="T76" s="95"/>
      <c r="U76" s="95"/>
      <c r="V76" s="95"/>
      <c r="W76" s="95"/>
      <c r="X76" s="95"/>
      <c r="Y76" s="95"/>
      <c r="Z76" s="95"/>
      <c r="AA76" s="95"/>
      <c r="AB76" s="95"/>
      <c r="AC76" s="95"/>
      <c r="AD76" s="95"/>
      <c r="AE76" s="95"/>
      <c r="AF76" s="95"/>
      <c r="AG76" s="95"/>
      <c r="AH76" s="95"/>
      <c r="AI76" s="95"/>
      <c r="AJ76" s="95"/>
      <c r="AK76" s="37"/>
      <c r="AL76" s="37"/>
      <c r="AM76" s="37"/>
      <c r="AN76" s="37"/>
      <c r="AO76" s="37"/>
      <c r="AP76" s="37"/>
      <c r="AQ76" s="37"/>
      <c r="AR76" s="37"/>
      <c r="AS76" s="37"/>
      <c r="AT76" s="37"/>
      <c r="AU76" s="37"/>
      <c r="AV76" s="37"/>
      <c r="AW76" s="37"/>
      <c r="AX76" s="37"/>
      <c r="AY76" s="37"/>
      <c r="AZ76" s="37"/>
      <c r="BA76" s="37"/>
      <c r="BB76" s="37"/>
      <c r="BC76" s="37"/>
    </row>
    <row r="77" spans="1:55" x14ac:dyDescent="0.25">
      <c r="A77" s="37"/>
      <c r="B77" s="37"/>
      <c r="C77" s="37"/>
      <c r="D77" s="95"/>
      <c r="E77" s="95"/>
      <c r="F77" s="95"/>
      <c r="G77" s="95"/>
      <c r="H77" s="95"/>
      <c r="I77" s="95"/>
      <c r="J77" s="95"/>
      <c r="K77" s="95"/>
      <c r="L77" s="95"/>
      <c r="M77" s="95"/>
      <c r="N77" s="95"/>
      <c r="O77" s="95"/>
      <c r="P77" s="95"/>
      <c r="Q77" s="95"/>
      <c r="R77" s="95"/>
      <c r="S77" s="95"/>
      <c r="T77" s="95"/>
      <c r="U77" s="95"/>
      <c r="V77" s="95"/>
      <c r="W77" s="95"/>
      <c r="X77" s="95"/>
      <c r="Y77" s="95"/>
      <c r="Z77" s="95"/>
      <c r="AA77" s="95"/>
      <c r="AB77" s="95"/>
      <c r="AC77" s="95"/>
      <c r="AD77" s="95"/>
      <c r="AE77" s="95"/>
      <c r="AF77" s="95"/>
      <c r="AG77" s="95"/>
      <c r="AH77" s="95"/>
      <c r="AI77" s="95"/>
      <c r="AJ77" s="95"/>
      <c r="AK77" s="37"/>
      <c r="AL77" s="37"/>
      <c r="AM77" s="37"/>
      <c r="AN77" s="37"/>
      <c r="AO77" s="37"/>
      <c r="AP77" s="37"/>
      <c r="AQ77" s="37"/>
      <c r="AR77" s="37"/>
      <c r="AS77" s="37"/>
      <c r="AT77" s="37"/>
      <c r="AU77" s="37"/>
      <c r="AV77" s="37"/>
      <c r="AW77" s="37"/>
      <c r="AX77" s="37"/>
      <c r="AY77" s="37"/>
      <c r="AZ77" s="37"/>
      <c r="BA77" s="37"/>
      <c r="BB77" s="37"/>
      <c r="BC77" s="37"/>
    </row>
    <row r="78" spans="1:55" x14ac:dyDescent="0.25">
      <c r="A78" s="37"/>
      <c r="B78" s="37"/>
      <c r="C78" s="37"/>
      <c r="D78" s="95"/>
      <c r="E78" s="95"/>
      <c r="F78" s="95"/>
      <c r="G78" s="95"/>
      <c r="H78" s="95"/>
      <c r="I78" s="95"/>
      <c r="J78" s="95"/>
      <c r="K78" s="95"/>
      <c r="L78" s="95"/>
      <c r="M78" s="95"/>
      <c r="N78" s="95"/>
      <c r="O78" s="95"/>
      <c r="P78" s="95"/>
      <c r="Q78" s="95"/>
      <c r="R78" s="95"/>
      <c r="S78" s="95"/>
      <c r="T78" s="95"/>
      <c r="U78" s="95"/>
      <c r="V78" s="95"/>
      <c r="W78" s="95"/>
      <c r="X78" s="95"/>
      <c r="Y78" s="95"/>
      <c r="Z78" s="95"/>
      <c r="AA78" s="95"/>
      <c r="AB78" s="95"/>
      <c r="AC78" s="95"/>
      <c r="AD78" s="95"/>
      <c r="AE78" s="95"/>
      <c r="AF78" s="95"/>
      <c r="AG78" s="95"/>
      <c r="AH78" s="95"/>
      <c r="AI78" s="95"/>
      <c r="AJ78" s="95"/>
    </row>
    <row r="79" spans="1:55" x14ac:dyDescent="0.25">
      <c r="A79" s="37"/>
      <c r="B79" s="37"/>
      <c r="C79" s="37"/>
      <c r="D79" s="95"/>
      <c r="E79" s="95"/>
      <c r="F79" s="95"/>
      <c r="G79" s="95"/>
      <c r="H79" s="95"/>
      <c r="I79" s="95"/>
      <c r="J79" s="95"/>
      <c r="K79" s="95"/>
      <c r="L79" s="95"/>
      <c r="M79" s="95"/>
      <c r="N79" s="95"/>
      <c r="O79" s="95"/>
      <c r="P79" s="95"/>
      <c r="Q79" s="95"/>
      <c r="R79" s="95"/>
      <c r="S79" s="95"/>
      <c r="T79" s="95"/>
      <c r="U79" s="95"/>
      <c r="V79" s="95"/>
      <c r="W79" s="95"/>
      <c r="X79" s="95"/>
      <c r="Y79" s="95"/>
      <c r="Z79" s="95"/>
      <c r="AA79" s="95"/>
      <c r="AB79" s="95"/>
      <c r="AC79" s="95"/>
      <c r="AD79" s="95"/>
      <c r="AE79" s="95"/>
      <c r="AF79" s="95"/>
      <c r="AG79" s="95"/>
      <c r="AH79" s="95"/>
      <c r="AI79" s="95"/>
      <c r="AJ79" s="95"/>
    </row>
    <row r="80" spans="1:55" x14ac:dyDescent="0.25">
      <c r="A80" s="37"/>
      <c r="B80" s="37"/>
      <c r="C80" s="37"/>
      <c r="D80" s="95"/>
      <c r="E80" s="95"/>
      <c r="F80" s="95"/>
      <c r="G80" s="95"/>
      <c r="H80" s="95"/>
      <c r="I80" s="95"/>
      <c r="J80" s="95"/>
      <c r="K80" s="95"/>
      <c r="L80" s="95"/>
      <c r="M80" s="95"/>
      <c r="N80" s="95"/>
      <c r="O80" s="95"/>
      <c r="P80" s="95"/>
      <c r="Q80" s="95"/>
      <c r="R80" s="95"/>
      <c r="S80" s="95"/>
      <c r="T80" s="95"/>
      <c r="U80" s="95"/>
      <c r="V80" s="95"/>
      <c r="W80" s="95"/>
      <c r="X80" s="95"/>
      <c r="Y80" s="95"/>
      <c r="Z80" s="95"/>
      <c r="AA80" s="95"/>
      <c r="AB80" s="95"/>
      <c r="AC80" s="95"/>
      <c r="AD80" s="95"/>
      <c r="AE80" s="95"/>
      <c r="AF80" s="95"/>
      <c r="AG80" s="95"/>
      <c r="AH80" s="95"/>
      <c r="AI80" s="95"/>
      <c r="AJ80" s="95"/>
    </row>
    <row r="81" spans="1:36" x14ac:dyDescent="0.25">
      <c r="A81" s="37"/>
      <c r="B81" s="37"/>
      <c r="C81" s="37"/>
      <c r="D81" s="95"/>
      <c r="E81" s="95"/>
      <c r="F81" s="95"/>
      <c r="G81" s="95"/>
      <c r="H81" s="95"/>
      <c r="I81" s="95"/>
      <c r="J81" s="95"/>
      <c r="K81" s="95"/>
      <c r="L81" s="95"/>
      <c r="M81" s="95"/>
      <c r="N81" s="95"/>
      <c r="O81" s="95"/>
      <c r="P81" s="95"/>
      <c r="Q81" s="95"/>
      <c r="R81" s="95"/>
      <c r="S81" s="95"/>
      <c r="T81" s="95"/>
      <c r="U81" s="95"/>
      <c r="V81" s="95"/>
      <c r="W81" s="95"/>
      <c r="X81" s="95"/>
      <c r="Y81" s="95"/>
      <c r="Z81" s="95"/>
      <c r="AA81" s="95"/>
      <c r="AB81" s="95"/>
      <c r="AC81" s="95"/>
      <c r="AD81" s="95"/>
      <c r="AE81" s="95"/>
      <c r="AF81" s="95"/>
      <c r="AG81" s="95"/>
      <c r="AH81" s="95"/>
      <c r="AI81" s="95"/>
      <c r="AJ81" s="95"/>
    </row>
    <row r="82" spans="1:36" x14ac:dyDescent="0.25">
      <c r="A82" s="37"/>
      <c r="B82" s="37"/>
      <c r="C82" s="37"/>
      <c r="D82" s="95"/>
      <c r="E82" s="95"/>
      <c r="F82" s="95"/>
      <c r="G82" s="95"/>
      <c r="H82" s="95"/>
      <c r="I82" s="95"/>
      <c r="J82" s="95"/>
      <c r="K82" s="95"/>
      <c r="L82" s="95"/>
      <c r="M82" s="95"/>
      <c r="N82" s="95"/>
      <c r="O82" s="95"/>
      <c r="P82" s="95"/>
      <c r="Q82" s="95"/>
      <c r="R82" s="95"/>
      <c r="S82" s="95"/>
      <c r="T82" s="95"/>
      <c r="U82" s="95"/>
      <c r="V82" s="95"/>
      <c r="W82" s="95"/>
      <c r="X82" s="95"/>
      <c r="Y82" s="95"/>
      <c r="Z82" s="95"/>
      <c r="AA82" s="95"/>
      <c r="AB82" s="95"/>
      <c r="AC82" s="95"/>
      <c r="AD82" s="95"/>
      <c r="AE82" s="95"/>
      <c r="AF82" s="95"/>
      <c r="AG82" s="95"/>
      <c r="AH82" s="95"/>
      <c r="AI82" s="95"/>
      <c r="AJ82" s="95"/>
    </row>
    <row r="83" spans="1:36" x14ac:dyDescent="0.25">
      <c r="A83" s="37"/>
      <c r="B83" s="37"/>
      <c r="C83" s="37"/>
      <c r="D83" s="95"/>
      <c r="E83" s="95"/>
      <c r="F83" s="95"/>
      <c r="G83" s="95"/>
      <c r="H83" s="95"/>
      <c r="I83" s="95"/>
      <c r="J83" s="95"/>
      <c r="K83" s="95"/>
      <c r="L83" s="95"/>
      <c r="M83" s="95"/>
      <c r="N83" s="95"/>
      <c r="O83" s="95"/>
      <c r="P83" s="95"/>
      <c r="Q83" s="95"/>
      <c r="R83" s="95"/>
      <c r="S83" s="95"/>
      <c r="T83" s="95"/>
      <c r="U83" s="95"/>
      <c r="V83" s="95"/>
      <c r="W83" s="95"/>
      <c r="X83" s="95"/>
      <c r="Y83" s="95"/>
      <c r="Z83" s="95"/>
      <c r="AA83" s="95"/>
      <c r="AB83" s="95"/>
      <c r="AC83" s="95"/>
      <c r="AD83" s="95"/>
      <c r="AE83" s="95"/>
      <c r="AF83" s="95"/>
      <c r="AG83" s="95"/>
      <c r="AH83" s="95"/>
      <c r="AI83" s="95"/>
      <c r="AJ83" s="95"/>
    </row>
    <row r="84" spans="1:36" x14ac:dyDescent="0.25">
      <c r="A84" s="37"/>
      <c r="B84" s="37"/>
      <c r="C84" s="37"/>
      <c r="D84" s="95"/>
      <c r="E84" s="95"/>
      <c r="F84" s="95"/>
      <c r="G84" s="95"/>
      <c r="H84" s="95"/>
      <c r="I84" s="95"/>
      <c r="J84" s="95"/>
      <c r="K84" s="95"/>
      <c r="L84" s="95"/>
      <c r="M84" s="95"/>
      <c r="N84" s="95"/>
      <c r="O84" s="95"/>
      <c r="P84" s="95"/>
      <c r="Q84" s="95"/>
      <c r="R84" s="95"/>
      <c r="S84" s="95"/>
      <c r="T84" s="95"/>
      <c r="U84" s="95"/>
      <c r="V84" s="95"/>
      <c r="W84" s="95"/>
      <c r="X84" s="95"/>
      <c r="Y84" s="95"/>
      <c r="Z84" s="95"/>
      <c r="AA84" s="95"/>
      <c r="AB84" s="95"/>
      <c r="AC84" s="95"/>
      <c r="AD84" s="95"/>
      <c r="AE84" s="95"/>
      <c r="AF84" s="95"/>
      <c r="AG84" s="95"/>
      <c r="AH84" s="95"/>
      <c r="AI84" s="95"/>
      <c r="AJ84" s="95"/>
    </row>
    <row r="85" spans="1:36" x14ac:dyDescent="0.25">
      <c r="A85" s="37"/>
      <c r="B85" s="37"/>
      <c r="C85" s="37"/>
      <c r="D85" s="95"/>
      <c r="E85" s="95"/>
      <c r="F85" s="95"/>
      <c r="G85" s="95"/>
      <c r="H85" s="95"/>
      <c r="I85" s="95"/>
      <c r="J85" s="95"/>
      <c r="K85" s="95"/>
      <c r="L85" s="95"/>
      <c r="M85" s="95"/>
      <c r="N85" s="95"/>
      <c r="O85" s="95"/>
      <c r="P85" s="95"/>
      <c r="Q85" s="95"/>
      <c r="R85" s="95"/>
      <c r="S85" s="95"/>
      <c r="T85" s="95"/>
      <c r="U85" s="95"/>
      <c r="V85" s="95"/>
      <c r="W85" s="95"/>
      <c r="X85" s="95"/>
      <c r="Y85" s="95"/>
      <c r="Z85" s="95"/>
      <c r="AA85" s="95"/>
      <c r="AB85" s="95"/>
      <c r="AC85" s="95"/>
      <c r="AD85" s="95"/>
      <c r="AE85" s="95"/>
      <c r="AF85" s="95"/>
      <c r="AG85" s="95"/>
      <c r="AH85" s="95"/>
      <c r="AI85" s="95"/>
      <c r="AJ85" s="95"/>
    </row>
    <row r="86" spans="1:36" x14ac:dyDescent="0.25">
      <c r="A86" s="37"/>
      <c r="B86" s="37"/>
      <c r="C86" s="37"/>
      <c r="D86" s="95"/>
      <c r="E86" s="95"/>
      <c r="F86" s="95"/>
      <c r="G86" s="95"/>
      <c r="H86" s="95"/>
      <c r="I86" s="95"/>
      <c r="J86" s="95"/>
      <c r="K86" s="95"/>
      <c r="L86" s="95"/>
      <c r="M86" s="95"/>
      <c r="N86" s="95"/>
      <c r="O86" s="95"/>
      <c r="P86" s="95"/>
      <c r="Q86" s="95"/>
      <c r="R86" s="95"/>
      <c r="S86" s="95"/>
      <c r="T86" s="95"/>
      <c r="U86" s="95"/>
      <c r="V86" s="95"/>
      <c r="W86" s="95"/>
      <c r="X86" s="95"/>
      <c r="Y86" s="95"/>
      <c r="Z86" s="95"/>
      <c r="AA86" s="95"/>
      <c r="AB86" s="95"/>
      <c r="AC86" s="95"/>
      <c r="AD86" s="95"/>
      <c r="AE86" s="95"/>
      <c r="AF86" s="95"/>
      <c r="AG86" s="95"/>
      <c r="AH86" s="95"/>
      <c r="AI86" s="95"/>
      <c r="AJ86" s="95"/>
    </row>
    <row r="87" spans="1:36" hidden="1" x14ac:dyDescent="0.25">
      <c r="A87" s="37"/>
      <c r="B87" s="37"/>
      <c r="C87" s="37"/>
      <c r="D87" s="95"/>
      <c r="E87" s="95"/>
      <c r="F87" s="95"/>
      <c r="G87" s="95"/>
      <c r="H87" s="95"/>
      <c r="I87" s="95"/>
      <c r="J87" s="95"/>
      <c r="K87" s="95"/>
      <c r="L87" s="95"/>
      <c r="M87" s="95"/>
      <c r="N87" s="95"/>
      <c r="O87" s="95"/>
      <c r="P87" s="95"/>
      <c r="Q87" s="95"/>
      <c r="R87" s="95"/>
      <c r="S87" s="95"/>
      <c r="T87" s="95"/>
      <c r="U87" s="95"/>
      <c r="V87" s="95"/>
      <c r="W87" s="95"/>
      <c r="X87" s="95"/>
      <c r="Y87" s="95"/>
      <c r="Z87" s="95"/>
      <c r="AA87" s="95"/>
      <c r="AB87" s="95"/>
      <c r="AC87" s="95"/>
      <c r="AD87" s="95"/>
      <c r="AE87" s="95"/>
      <c r="AF87" s="95"/>
      <c r="AG87" s="95"/>
      <c r="AH87" s="95"/>
      <c r="AI87" s="95"/>
      <c r="AJ87" s="95"/>
    </row>
    <row r="88" spans="1:36" hidden="1" x14ac:dyDescent="0.25">
      <c r="A88" s="37"/>
      <c r="B88" s="37"/>
      <c r="C88" s="37"/>
      <c r="D88" s="95"/>
      <c r="E88" s="95"/>
      <c r="F88" s="95"/>
      <c r="G88" s="95"/>
      <c r="H88" s="95"/>
      <c r="I88" s="95"/>
      <c r="J88" s="95"/>
      <c r="K88" s="95"/>
      <c r="L88" s="95"/>
      <c r="M88" s="95"/>
      <c r="N88" s="95"/>
      <c r="O88" s="95"/>
      <c r="P88" s="95"/>
      <c r="Q88" s="95"/>
      <c r="R88" s="95"/>
      <c r="S88" s="95"/>
      <c r="T88" s="95"/>
      <c r="U88" s="95"/>
      <c r="V88" s="95"/>
      <c r="W88" s="95"/>
      <c r="X88" s="95"/>
      <c r="Y88" s="95"/>
      <c r="Z88" s="95"/>
      <c r="AA88" s="95"/>
      <c r="AB88" s="95"/>
      <c r="AC88" s="95"/>
      <c r="AD88" s="95"/>
      <c r="AE88" s="95"/>
      <c r="AF88" s="95"/>
      <c r="AG88" s="95"/>
      <c r="AH88" s="95"/>
      <c r="AI88" s="95"/>
      <c r="AJ88" s="95"/>
    </row>
    <row r="89" spans="1:36" hidden="1" x14ac:dyDescent="0.25">
      <c r="A89" s="37"/>
      <c r="B89" s="37"/>
      <c r="C89" s="37"/>
      <c r="D89" s="95"/>
      <c r="E89" s="95"/>
      <c r="F89" s="95"/>
      <c r="G89" s="95"/>
      <c r="H89" s="95"/>
      <c r="I89" s="95"/>
      <c r="J89" s="95"/>
      <c r="K89" s="95"/>
      <c r="L89" s="95"/>
      <c r="M89" s="95"/>
      <c r="N89" s="95"/>
      <c r="O89" s="95"/>
      <c r="P89" s="95"/>
      <c r="Q89" s="95"/>
      <c r="R89" s="95"/>
      <c r="S89" s="95"/>
      <c r="T89" s="95"/>
      <c r="U89" s="95"/>
      <c r="V89" s="95"/>
      <c r="W89" s="95"/>
      <c r="X89" s="95"/>
      <c r="Y89" s="95"/>
      <c r="Z89" s="95"/>
      <c r="AA89" s="95"/>
      <c r="AB89" s="95"/>
      <c r="AC89" s="95"/>
      <c r="AD89" s="95"/>
      <c r="AE89" s="95"/>
      <c r="AF89" s="95"/>
      <c r="AG89" s="95"/>
      <c r="AH89" s="95"/>
      <c r="AI89" s="95"/>
      <c r="AJ89" s="95"/>
    </row>
    <row r="90" spans="1:36" hidden="1" x14ac:dyDescent="0.25">
      <c r="A90" s="37"/>
      <c r="B90" s="37"/>
      <c r="C90" s="37"/>
      <c r="D90" s="95"/>
      <c r="E90" s="95"/>
      <c r="F90" s="95"/>
      <c r="G90" s="95"/>
      <c r="H90" s="95"/>
      <c r="I90" s="95"/>
      <c r="J90" s="95"/>
      <c r="K90" s="95"/>
      <c r="L90" s="95"/>
      <c r="M90" s="95"/>
      <c r="N90" s="95"/>
      <c r="O90" s="95"/>
      <c r="P90" s="95"/>
      <c r="Q90" s="95"/>
      <c r="R90" s="95"/>
      <c r="S90" s="95"/>
      <c r="T90" s="95"/>
      <c r="U90" s="95"/>
      <c r="V90" s="95"/>
      <c r="W90" s="95"/>
      <c r="X90" s="95"/>
      <c r="Y90" s="95"/>
      <c r="Z90" s="95"/>
      <c r="AA90" s="95"/>
      <c r="AB90" s="95"/>
      <c r="AC90" s="95"/>
      <c r="AD90" s="95"/>
      <c r="AE90" s="95"/>
      <c r="AF90" s="95"/>
      <c r="AG90" s="95"/>
      <c r="AH90" s="95"/>
      <c r="AI90" s="95"/>
      <c r="AJ90" s="95"/>
    </row>
    <row r="91" spans="1:36" hidden="1" x14ac:dyDescent="0.25">
      <c r="A91" s="37"/>
      <c r="B91" s="37"/>
      <c r="C91" s="37"/>
      <c r="D91" s="95"/>
      <c r="E91" s="95"/>
      <c r="F91" s="95"/>
      <c r="G91" s="95"/>
      <c r="H91" s="95"/>
      <c r="I91" s="95"/>
      <c r="J91" s="95"/>
      <c r="K91" s="95"/>
      <c r="L91" s="95"/>
      <c r="M91" s="95"/>
      <c r="N91" s="95"/>
      <c r="O91" s="95"/>
      <c r="P91" s="95"/>
      <c r="Q91" s="95"/>
      <c r="R91" s="95"/>
      <c r="S91" s="95"/>
      <c r="T91" s="95"/>
      <c r="U91" s="95"/>
      <c r="V91" s="95"/>
      <c r="W91" s="95"/>
      <c r="X91" s="95"/>
      <c r="Y91" s="95"/>
      <c r="Z91" s="95"/>
      <c r="AA91" s="95"/>
      <c r="AB91" s="95"/>
      <c r="AC91" s="95"/>
      <c r="AD91" s="95"/>
      <c r="AE91" s="95"/>
      <c r="AF91" s="95"/>
      <c r="AG91" s="95"/>
      <c r="AH91" s="95"/>
      <c r="AI91" s="95"/>
      <c r="AJ91" s="95"/>
    </row>
    <row r="92" spans="1:36" hidden="1" x14ac:dyDescent="0.25">
      <c r="A92" s="37"/>
      <c r="B92" s="37"/>
      <c r="C92" s="37"/>
      <c r="D92" s="95"/>
      <c r="E92" s="95"/>
      <c r="F92" s="95"/>
      <c r="G92" s="95"/>
      <c r="H92" s="95"/>
      <c r="I92" s="95"/>
      <c r="J92" s="95"/>
      <c r="K92" s="95"/>
      <c r="L92" s="95"/>
      <c r="M92" s="95"/>
      <c r="N92" s="95"/>
      <c r="O92" s="95"/>
      <c r="P92" s="95"/>
      <c r="Q92" s="95"/>
      <c r="R92" s="95"/>
      <c r="S92" s="95"/>
      <c r="T92" s="95"/>
      <c r="U92" s="95"/>
      <c r="V92" s="95"/>
      <c r="W92" s="95"/>
      <c r="X92" s="95"/>
      <c r="Y92" s="95"/>
      <c r="Z92" s="95"/>
      <c r="AA92" s="95"/>
      <c r="AB92" s="95"/>
      <c r="AC92" s="95"/>
      <c r="AD92" s="95"/>
      <c r="AE92" s="95"/>
      <c r="AF92" s="95"/>
      <c r="AG92" s="95"/>
      <c r="AH92" s="95"/>
      <c r="AI92" s="95"/>
      <c r="AJ92" s="95"/>
    </row>
    <row r="93" spans="1:36" hidden="1" x14ac:dyDescent="0.25">
      <c r="A93" s="37"/>
      <c r="B93" s="37"/>
      <c r="C93" s="37"/>
      <c r="D93" s="95"/>
      <c r="E93" s="95"/>
      <c r="F93" s="95"/>
      <c r="G93" s="95"/>
      <c r="H93" s="95"/>
      <c r="I93" s="95"/>
      <c r="J93" s="95"/>
      <c r="K93" s="95"/>
      <c r="L93" s="95"/>
      <c r="M93" s="95"/>
      <c r="N93" s="95"/>
      <c r="O93" s="95"/>
      <c r="P93" s="95"/>
      <c r="Q93" s="95"/>
      <c r="R93" s="95"/>
      <c r="S93" s="95"/>
      <c r="T93" s="95"/>
      <c r="U93" s="95"/>
      <c r="V93" s="95"/>
      <c r="W93" s="95"/>
      <c r="X93" s="95"/>
      <c r="Y93" s="95"/>
      <c r="Z93" s="95"/>
      <c r="AA93" s="95"/>
      <c r="AB93" s="95"/>
      <c r="AC93" s="95"/>
      <c r="AD93" s="95"/>
      <c r="AE93" s="95"/>
      <c r="AF93" s="95"/>
      <c r="AG93" s="95"/>
      <c r="AH93" s="95"/>
      <c r="AI93" s="95"/>
      <c r="AJ93" s="95"/>
    </row>
    <row r="94" spans="1:36" hidden="1" x14ac:dyDescent="0.25">
      <c r="A94" s="37"/>
      <c r="B94" s="37"/>
      <c r="C94" s="37"/>
      <c r="D94" s="95"/>
      <c r="E94" s="95"/>
      <c r="F94" s="95"/>
      <c r="G94" s="95"/>
      <c r="H94" s="95"/>
      <c r="I94" s="95"/>
      <c r="J94" s="95"/>
      <c r="K94" s="95"/>
      <c r="L94" s="95"/>
      <c r="M94" s="95"/>
      <c r="N94" s="95"/>
      <c r="O94" s="95"/>
      <c r="P94" s="95"/>
      <c r="Q94" s="95"/>
      <c r="R94" s="95"/>
      <c r="S94" s="95"/>
      <c r="T94" s="95"/>
      <c r="U94" s="95"/>
      <c r="V94" s="95"/>
      <c r="W94" s="95"/>
      <c r="X94" s="95"/>
      <c r="Y94" s="95"/>
      <c r="Z94" s="95"/>
      <c r="AA94" s="95"/>
      <c r="AB94" s="95"/>
      <c r="AC94" s="95"/>
      <c r="AD94" s="95"/>
      <c r="AE94" s="95"/>
      <c r="AF94" s="95"/>
      <c r="AG94" s="95"/>
      <c r="AH94" s="95"/>
      <c r="AI94" s="95"/>
      <c r="AJ94" s="95"/>
    </row>
    <row r="95" spans="1:36" hidden="1" x14ac:dyDescent="0.25">
      <c r="A95" s="37"/>
      <c r="B95" s="37"/>
      <c r="C95" s="37"/>
      <c r="D95" s="95"/>
      <c r="E95" s="95"/>
      <c r="F95" s="95"/>
      <c r="G95" s="95"/>
      <c r="H95" s="95"/>
      <c r="I95" s="95"/>
      <c r="J95" s="95"/>
      <c r="K95" s="95"/>
      <c r="L95" s="95"/>
      <c r="M95" s="95"/>
      <c r="N95" s="95"/>
      <c r="O95" s="95"/>
      <c r="P95" s="95"/>
      <c r="Q95" s="95"/>
      <c r="R95" s="95"/>
      <c r="S95" s="95"/>
      <c r="T95" s="95"/>
      <c r="U95" s="95"/>
      <c r="V95" s="95"/>
      <c r="W95" s="95"/>
      <c r="X95" s="95"/>
      <c r="Y95" s="95"/>
      <c r="Z95" s="95"/>
      <c r="AA95" s="95"/>
      <c r="AB95" s="95"/>
      <c r="AC95" s="95"/>
      <c r="AD95" s="95"/>
      <c r="AE95" s="95"/>
      <c r="AF95" s="95"/>
      <c r="AG95" s="95"/>
      <c r="AH95" s="95"/>
      <c r="AI95" s="95"/>
      <c r="AJ95" s="95"/>
    </row>
    <row r="96" spans="1:36" hidden="1" x14ac:dyDescent="0.25">
      <c r="A96" s="37"/>
      <c r="B96" s="37"/>
      <c r="C96" s="37"/>
      <c r="D96" s="95"/>
      <c r="E96" s="95"/>
      <c r="F96" s="95"/>
      <c r="G96" s="95"/>
      <c r="H96" s="95"/>
      <c r="I96" s="95"/>
      <c r="J96" s="95"/>
      <c r="K96" s="95"/>
      <c r="L96" s="95"/>
      <c r="M96" s="95"/>
      <c r="N96" s="95"/>
      <c r="O96" s="95"/>
      <c r="P96" s="95"/>
      <c r="Q96" s="95"/>
      <c r="R96" s="95"/>
      <c r="S96" s="95"/>
      <c r="T96" s="95"/>
      <c r="U96" s="95"/>
      <c r="V96" s="95"/>
      <c r="W96" s="95"/>
      <c r="X96" s="95"/>
      <c r="Y96" s="95"/>
      <c r="Z96" s="95"/>
      <c r="AA96" s="95"/>
      <c r="AB96" s="95"/>
      <c r="AC96" s="95"/>
      <c r="AD96" s="95"/>
      <c r="AE96" s="95"/>
      <c r="AF96" s="95"/>
      <c r="AG96" s="95"/>
      <c r="AH96" s="95"/>
      <c r="AI96" s="95"/>
      <c r="AJ96" s="95"/>
    </row>
    <row r="97" spans="1:36" hidden="1" x14ac:dyDescent="0.25">
      <c r="A97" s="37"/>
      <c r="B97" s="37"/>
      <c r="C97" s="37"/>
      <c r="D97" s="95"/>
      <c r="E97" s="95"/>
      <c r="F97" s="95"/>
      <c r="G97" s="95"/>
      <c r="H97" s="95"/>
      <c r="I97" s="95"/>
      <c r="J97" s="95"/>
      <c r="K97" s="95"/>
      <c r="L97" s="95"/>
      <c r="M97" s="95"/>
      <c r="N97" s="95"/>
      <c r="O97" s="95"/>
      <c r="P97" s="95"/>
      <c r="Q97" s="95"/>
      <c r="R97" s="95"/>
      <c r="S97" s="95"/>
      <c r="T97" s="95"/>
      <c r="U97" s="95"/>
      <c r="V97" s="95"/>
      <c r="W97" s="95"/>
      <c r="X97" s="95"/>
      <c r="Y97" s="95"/>
      <c r="Z97" s="95"/>
      <c r="AA97" s="95"/>
      <c r="AB97" s="95"/>
      <c r="AC97" s="95"/>
      <c r="AD97" s="95"/>
      <c r="AE97" s="95"/>
      <c r="AF97" s="95"/>
      <c r="AG97" s="95"/>
      <c r="AH97" s="95"/>
      <c r="AI97" s="95"/>
      <c r="AJ97" s="95"/>
    </row>
    <row r="98" spans="1:36" hidden="1" x14ac:dyDescent="0.25">
      <c r="A98" s="37"/>
      <c r="B98" s="37"/>
      <c r="C98" s="37"/>
      <c r="D98" s="95"/>
      <c r="E98" s="95"/>
      <c r="F98" s="95"/>
      <c r="G98" s="95"/>
      <c r="H98" s="95"/>
      <c r="I98" s="95"/>
      <c r="J98" s="95"/>
      <c r="K98" s="95"/>
      <c r="L98" s="95"/>
      <c r="M98" s="95"/>
      <c r="N98" s="95"/>
      <c r="O98" s="95"/>
      <c r="P98" s="95"/>
      <c r="Q98" s="95"/>
      <c r="R98" s="95"/>
      <c r="S98" s="95"/>
      <c r="T98" s="95"/>
      <c r="U98" s="95"/>
      <c r="V98" s="95"/>
      <c r="W98" s="95"/>
      <c r="X98" s="95"/>
      <c r="Y98" s="95"/>
      <c r="Z98" s="95"/>
      <c r="AA98" s="95"/>
      <c r="AB98" s="95"/>
      <c r="AC98" s="95"/>
      <c r="AD98" s="95"/>
      <c r="AE98" s="95"/>
      <c r="AF98" s="95"/>
      <c r="AG98" s="95"/>
      <c r="AH98" s="95"/>
      <c r="AI98" s="95"/>
      <c r="AJ98" s="95"/>
    </row>
    <row r="99" spans="1:36" hidden="1" x14ac:dyDescent="0.25">
      <c r="A99" s="37"/>
      <c r="B99" s="37"/>
      <c r="C99" s="37"/>
      <c r="D99" s="95"/>
      <c r="E99" s="95"/>
      <c r="F99" s="95"/>
      <c r="G99" s="95"/>
      <c r="H99" s="95"/>
      <c r="I99" s="95"/>
      <c r="J99" s="95"/>
      <c r="K99" s="95"/>
      <c r="L99" s="95"/>
      <c r="M99" s="95"/>
      <c r="N99" s="95"/>
      <c r="O99" s="95"/>
      <c r="P99" s="95"/>
      <c r="Q99" s="95"/>
      <c r="R99" s="95"/>
      <c r="S99" s="95"/>
      <c r="T99" s="95"/>
      <c r="U99" s="95"/>
      <c r="V99" s="95"/>
      <c r="W99" s="95"/>
      <c r="X99" s="95"/>
      <c r="Y99" s="95"/>
      <c r="Z99" s="95"/>
      <c r="AA99" s="95"/>
      <c r="AB99" s="95"/>
      <c r="AC99" s="95"/>
      <c r="AD99" s="95"/>
      <c r="AE99" s="95"/>
      <c r="AF99" s="95"/>
      <c r="AG99" s="95"/>
      <c r="AH99" s="95"/>
      <c r="AI99" s="95"/>
      <c r="AJ99" s="95"/>
    </row>
    <row r="100" spans="1:36" hidden="1" x14ac:dyDescent="0.25">
      <c r="A100" s="37"/>
      <c r="B100" s="37"/>
      <c r="C100" s="37"/>
    </row>
    <row r="101" spans="1:36" x14ac:dyDescent="0.25"/>
    <row r="102" spans="1:36" x14ac:dyDescent="0.25"/>
  </sheetData>
  <mergeCells count="1">
    <mergeCell ref="B47:N48"/>
  </mergeCells>
  <pageMargins left="0.7" right="0.7" top="0.78740157499999996" bottom="0.78740157499999996" header="0.3" footer="0.3"/>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8"/>
  <dimension ref="A1:MF636"/>
  <sheetViews>
    <sheetView zoomScale="70" zoomScaleNormal="70" workbookViewId="0"/>
  </sheetViews>
  <sheetFormatPr defaultColWidth="0" defaultRowHeight="15" zeroHeight="1" x14ac:dyDescent="0.25"/>
  <cols>
    <col min="1" max="1" width="13.5703125" style="101" customWidth="1"/>
    <col min="2" max="2" width="14" style="101" customWidth="1"/>
    <col min="3" max="26" width="12.85546875" style="101" customWidth="1"/>
    <col min="27" max="32" width="0" style="101" hidden="1" customWidth="1"/>
    <col min="33" max="16384" width="11.5703125" style="101" hidden="1"/>
  </cols>
  <sheetData>
    <row r="1" spans="1:344" x14ac:dyDescent="0.25">
      <c r="A1" s="100"/>
      <c r="B1" s="100"/>
      <c r="C1" s="100"/>
      <c r="D1" s="100"/>
      <c r="E1" s="100"/>
      <c r="F1" s="100"/>
      <c r="G1" s="100"/>
      <c r="H1" s="100"/>
      <c r="I1" s="100"/>
      <c r="J1" s="100"/>
      <c r="K1" s="100"/>
      <c r="L1" s="100"/>
      <c r="M1" s="100"/>
      <c r="N1" s="100"/>
      <c r="O1" s="100"/>
      <c r="P1" s="100"/>
      <c r="Q1" s="100"/>
      <c r="R1" s="100"/>
      <c r="S1" s="100"/>
      <c r="T1" s="100"/>
      <c r="U1" s="100"/>
      <c r="V1" s="100"/>
      <c r="W1" s="100"/>
      <c r="X1" s="100"/>
      <c r="Y1" s="100"/>
      <c r="Z1" s="100"/>
    </row>
    <row r="2" spans="1:344" x14ac:dyDescent="0.25">
      <c r="A2" s="100"/>
      <c r="B2" s="100"/>
      <c r="C2" s="100"/>
      <c r="D2" s="100"/>
      <c r="E2" s="100"/>
      <c r="F2" s="100"/>
      <c r="G2" s="100"/>
      <c r="H2" s="100"/>
      <c r="I2" s="100"/>
      <c r="J2" s="100"/>
      <c r="K2" s="100"/>
      <c r="L2" s="100"/>
      <c r="M2" s="100"/>
      <c r="N2" s="100"/>
      <c r="O2" s="100"/>
      <c r="P2" s="100"/>
      <c r="Q2" s="100"/>
      <c r="R2" s="100"/>
      <c r="S2" s="100"/>
      <c r="T2" s="100"/>
      <c r="U2" s="100"/>
      <c r="V2" s="100"/>
      <c r="W2" s="100"/>
      <c r="X2" s="100"/>
      <c r="Y2" s="100"/>
      <c r="Z2" s="100"/>
    </row>
    <row r="3" spans="1:344" x14ac:dyDescent="0.25">
      <c r="A3" s="100"/>
      <c r="B3" s="100"/>
      <c r="C3" s="100"/>
      <c r="D3" s="100" t="s">
        <v>1269</v>
      </c>
      <c r="E3" s="100"/>
      <c r="F3" s="100"/>
      <c r="G3" s="100"/>
      <c r="H3" s="100"/>
      <c r="I3" s="100"/>
      <c r="J3" s="100"/>
      <c r="K3" s="100"/>
      <c r="L3" s="100"/>
      <c r="M3" s="100"/>
      <c r="N3" s="100"/>
      <c r="O3" s="100"/>
      <c r="P3" s="100"/>
      <c r="Q3" s="100"/>
      <c r="R3" s="100"/>
      <c r="S3" s="100"/>
      <c r="T3" s="100"/>
      <c r="U3" s="100"/>
      <c r="V3" s="100"/>
      <c r="W3" s="100"/>
      <c r="X3" s="100"/>
      <c r="Y3" s="100"/>
      <c r="Z3" s="100"/>
    </row>
    <row r="4" spans="1:344" ht="14.45" customHeight="1" thickBot="1" x14ac:dyDescent="0.3">
      <c r="A4" s="100"/>
      <c r="B4" s="100"/>
      <c r="C4" s="100"/>
      <c r="D4" s="100"/>
      <c r="E4" s="100"/>
      <c r="F4" s="100"/>
      <c r="G4" s="100"/>
      <c r="H4" s="100"/>
      <c r="I4" s="100"/>
      <c r="J4" s="100"/>
      <c r="K4" s="100"/>
      <c r="L4" s="100"/>
      <c r="M4" s="100"/>
      <c r="N4" s="100"/>
      <c r="O4" s="100"/>
      <c r="P4" s="100"/>
      <c r="Q4" s="100"/>
      <c r="R4" s="100"/>
      <c r="S4" s="100"/>
      <c r="T4" s="100"/>
      <c r="U4" s="100"/>
      <c r="V4" s="100"/>
      <c r="W4" s="100"/>
      <c r="X4" s="100"/>
      <c r="Y4" s="100"/>
      <c r="Z4" s="100"/>
    </row>
    <row r="5" spans="1:344" x14ac:dyDescent="0.25">
      <c r="A5" s="859" t="s">
        <v>1669</v>
      </c>
      <c r="B5" s="861" t="s">
        <v>2008</v>
      </c>
      <c r="C5" s="100"/>
      <c r="D5" s="100"/>
      <c r="E5" s="100"/>
      <c r="F5" s="100"/>
      <c r="G5" s="100"/>
      <c r="H5" s="100"/>
      <c r="I5" s="100"/>
      <c r="J5" s="100"/>
      <c r="K5" s="100"/>
      <c r="L5" s="100"/>
      <c r="M5" s="100"/>
      <c r="N5" s="100"/>
      <c r="O5" s="100"/>
      <c r="P5" s="100"/>
      <c r="Q5" s="100"/>
      <c r="R5" s="100"/>
      <c r="S5" s="100"/>
      <c r="T5" s="100"/>
      <c r="U5" s="100"/>
      <c r="V5" s="100"/>
      <c r="W5" s="100"/>
      <c r="X5" s="100"/>
      <c r="Y5" s="100"/>
      <c r="Z5" s="100"/>
    </row>
    <row r="6" spans="1:344" ht="15.75" thickBot="1" x14ac:dyDescent="0.3">
      <c r="A6" s="860"/>
      <c r="B6" s="862"/>
      <c r="C6" s="100"/>
      <c r="D6" s="100"/>
      <c r="F6" s="100"/>
      <c r="G6" s="100"/>
      <c r="H6" s="100"/>
      <c r="I6" s="100"/>
      <c r="J6" s="100"/>
      <c r="K6" s="100"/>
      <c r="L6" s="100"/>
      <c r="M6" s="100"/>
      <c r="N6" s="100"/>
      <c r="O6" s="100"/>
      <c r="P6" s="100"/>
      <c r="Q6" s="100"/>
      <c r="R6" s="100"/>
      <c r="S6" s="100"/>
      <c r="T6" s="100"/>
      <c r="U6" s="100"/>
      <c r="V6" s="100"/>
      <c r="W6" s="100"/>
      <c r="X6" s="100"/>
      <c r="Y6" s="100"/>
      <c r="Z6" s="100"/>
    </row>
    <row r="7" spans="1:344" ht="29.1" customHeight="1" thickBot="1" x14ac:dyDescent="0.3">
      <c r="A7" s="658" t="s">
        <v>1221</v>
      </c>
      <c r="B7" s="668">
        <v>2</v>
      </c>
      <c r="C7" s="37"/>
      <c r="D7" s="37"/>
      <c r="E7" s="37"/>
      <c r="F7" s="37"/>
      <c r="G7" s="3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c r="JA7"/>
      <c r="JB7"/>
      <c r="JC7"/>
      <c r="JD7"/>
      <c r="JE7"/>
      <c r="JF7"/>
      <c r="JG7"/>
      <c r="JH7"/>
      <c r="JI7"/>
      <c r="JJ7"/>
      <c r="JK7"/>
      <c r="JL7"/>
      <c r="JM7"/>
      <c r="JN7"/>
      <c r="JO7"/>
      <c r="JP7"/>
      <c r="JQ7"/>
      <c r="JR7"/>
      <c r="JS7"/>
      <c r="JT7"/>
      <c r="JU7"/>
      <c r="JV7"/>
      <c r="JW7"/>
      <c r="JX7"/>
      <c r="JY7"/>
      <c r="JZ7"/>
      <c r="KA7"/>
      <c r="KB7"/>
      <c r="KC7"/>
      <c r="KD7"/>
      <c r="KE7"/>
      <c r="KF7"/>
      <c r="KG7"/>
      <c r="KH7"/>
      <c r="KI7"/>
      <c r="KJ7"/>
      <c r="KK7"/>
      <c r="KL7"/>
      <c r="KM7"/>
      <c r="KN7"/>
      <c r="KO7"/>
      <c r="KP7"/>
      <c r="KQ7"/>
      <c r="KR7"/>
      <c r="KS7"/>
      <c r="KT7"/>
      <c r="KU7"/>
      <c r="KV7"/>
      <c r="KW7"/>
      <c r="KX7"/>
      <c r="KY7"/>
      <c r="KZ7"/>
      <c r="LA7"/>
      <c r="LB7"/>
      <c r="LC7"/>
      <c r="LD7"/>
      <c r="LE7"/>
      <c r="LF7"/>
      <c r="LG7"/>
      <c r="LH7"/>
      <c r="LI7"/>
      <c r="LJ7"/>
      <c r="LK7"/>
      <c r="LL7"/>
      <c r="LM7"/>
      <c r="LN7"/>
      <c r="LO7"/>
      <c r="LP7"/>
      <c r="LQ7"/>
      <c r="LR7"/>
      <c r="LS7"/>
      <c r="LT7"/>
      <c r="LU7"/>
      <c r="LV7"/>
      <c r="LW7"/>
      <c r="LX7"/>
      <c r="LY7"/>
      <c r="LZ7"/>
      <c r="MA7"/>
      <c r="MB7"/>
      <c r="MC7"/>
      <c r="MD7"/>
      <c r="ME7"/>
      <c r="MF7"/>
    </row>
    <row r="8" spans="1:344" ht="29.1" customHeight="1" thickTop="1" x14ac:dyDescent="0.25">
      <c r="A8" s="100"/>
      <c r="B8" s="37"/>
      <c r="C8" s="37"/>
      <c r="D8" s="37"/>
      <c r="E8" s="37"/>
      <c r="F8" s="100"/>
      <c r="G8" s="760" t="s">
        <v>1219</v>
      </c>
      <c r="H8" s="760" t="s">
        <v>1231</v>
      </c>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row>
    <row r="9" spans="1:344" ht="29.1" customHeight="1" x14ac:dyDescent="0.25">
      <c r="A9" s="100"/>
      <c r="B9" s="37"/>
      <c r="C9" s="96"/>
      <c r="D9" s="96"/>
      <c r="E9" s="96"/>
      <c r="F9" s="755" t="s">
        <v>1262</v>
      </c>
      <c r="G9" s="759">
        <v>600</v>
      </c>
      <c r="H9" s="759">
        <v>600</v>
      </c>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c r="IW9"/>
      <c r="IX9"/>
      <c r="IY9"/>
      <c r="IZ9"/>
      <c r="JA9"/>
      <c r="JB9"/>
      <c r="JC9"/>
      <c r="JD9"/>
      <c r="JE9"/>
      <c r="JF9"/>
      <c r="JG9"/>
      <c r="JH9"/>
      <c r="JI9"/>
      <c r="JJ9"/>
      <c r="JK9"/>
      <c r="JL9"/>
      <c r="JM9"/>
      <c r="JN9"/>
      <c r="JO9"/>
      <c r="JP9"/>
      <c r="JQ9"/>
      <c r="JR9"/>
      <c r="JS9"/>
      <c r="JT9"/>
      <c r="JU9"/>
      <c r="JV9"/>
      <c r="JW9"/>
      <c r="JX9"/>
      <c r="JY9"/>
      <c r="JZ9"/>
      <c r="KA9"/>
      <c r="KB9"/>
      <c r="KC9"/>
      <c r="KD9"/>
      <c r="KE9"/>
      <c r="KF9"/>
      <c r="KG9"/>
      <c r="KH9"/>
      <c r="KI9"/>
      <c r="KJ9"/>
      <c r="KK9"/>
      <c r="KL9"/>
      <c r="KM9"/>
      <c r="KN9"/>
      <c r="KO9"/>
      <c r="KP9"/>
      <c r="KQ9"/>
      <c r="KR9"/>
      <c r="KS9"/>
      <c r="KT9"/>
      <c r="KU9"/>
      <c r="KV9"/>
      <c r="KW9"/>
      <c r="KX9"/>
      <c r="KY9"/>
      <c r="KZ9"/>
      <c r="LA9"/>
      <c r="LB9"/>
      <c r="LC9"/>
      <c r="LD9"/>
      <c r="LE9"/>
      <c r="LF9"/>
      <c r="LG9"/>
      <c r="LH9"/>
      <c r="LI9"/>
      <c r="LJ9"/>
      <c r="LK9"/>
      <c r="LL9"/>
      <c r="LM9"/>
      <c r="LN9"/>
      <c r="LO9"/>
      <c r="LP9"/>
      <c r="LQ9"/>
      <c r="LR9"/>
      <c r="LS9"/>
      <c r="LT9"/>
      <c r="LU9"/>
      <c r="LV9"/>
      <c r="LW9"/>
      <c r="LX9"/>
      <c r="LY9"/>
      <c r="LZ9"/>
      <c r="MA9"/>
      <c r="MB9"/>
      <c r="MC9"/>
      <c r="MD9"/>
      <c r="ME9"/>
      <c r="MF9"/>
    </row>
    <row r="10" spans="1:344" ht="29.1" customHeight="1" x14ac:dyDescent="0.25">
      <c r="A10" s="100"/>
      <c r="B10" s="96"/>
      <c r="C10" s="667"/>
      <c r="D10" s="667"/>
      <c r="E10" s="667"/>
      <c r="F10" s="756" t="s">
        <v>1671</v>
      </c>
      <c r="G10" s="759">
        <v>4</v>
      </c>
      <c r="H10" s="759">
        <v>4</v>
      </c>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row>
    <row r="11" spans="1:344" ht="29.1" customHeight="1" x14ac:dyDescent="0.25">
      <c r="A11" s="100"/>
      <c r="B11" s="96"/>
      <c r="C11" s="667"/>
      <c r="D11" s="667"/>
      <c r="E11" s="667"/>
      <c r="F11" s="755" t="s">
        <v>1672</v>
      </c>
      <c r="G11" s="759">
        <v>10000</v>
      </c>
      <c r="H11" s="759">
        <v>10000</v>
      </c>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c r="IW11"/>
      <c r="IX11"/>
      <c r="IY11"/>
      <c r="IZ11"/>
      <c r="JA11"/>
      <c r="JB11"/>
      <c r="JC11"/>
      <c r="JD11"/>
      <c r="JE11"/>
      <c r="JF11"/>
      <c r="JG11"/>
      <c r="JH11"/>
      <c r="JI11"/>
      <c r="JJ11"/>
      <c r="JK11"/>
      <c r="JL11"/>
      <c r="JM11"/>
      <c r="JN11"/>
      <c r="JO11"/>
      <c r="JP11"/>
      <c r="JQ11"/>
      <c r="JR11"/>
      <c r="JS11"/>
      <c r="JT11"/>
      <c r="JU11"/>
      <c r="JV11"/>
      <c r="JW11"/>
      <c r="JX11"/>
      <c r="JY11"/>
      <c r="JZ11"/>
      <c r="KA11"/>
      <c r="KB11"/>
      <c r="KC11"/>
      <c r="KD11"/>
      <c r="KE11"/>
      <c r="KF11"/>
      <c r="KG11"/>
      <c r="KH11"/>
      <c r="KI11"/>
      <c r="KJ11"/>
      <c r="KK11"/>
      <c r="KL11"/>
      <c r="KM11"/>
      <c r="KN11"/>
      <c r="KO11"/>
      <c r="KP11"/>
      <c r="KQ11"/>
      <c r="KR11"/>
      <c r="KS11"/>
      <c r="KT11"/>
      <c r="KU11"/>
      <c r="KV11"/>
      <c r="KW11"/>
      <c r="KX11"/>
      <c r="KY11"/>
      <c r="KZ11"/>
      <c r="LA11"/>
      <c r="LB11"/>
      <c r="LC11"/>
      <c r="LD11"/>
      <c r="LE11"/>
      <c r="LF11"/>
      <c r="LG11"/>
      <c r="LH11"/>
      <c r="LI11"/>
      <c r="LJ11"/>
      <c r="LK11"/>
      <c r="LL11"/>
      <c r="LM11"/>
      <c r="LN11"/>
      <c r="LO11"/>
      <c r="LP11"/>
      <c r="LQ11"/>
      <c r="LR11"/>
      <c r="LS11"/>
      <c r="LT11"/>
      <c r="LU11"/>
      <c r="LV11"/>
      <c r="LW11"/>
      <c r="LX11"/>
      <c r="LY11"/>
      <c r="LZ11"/>
      <c r="MA11"/>
      <c r="MB11"/>
      <c r="MC11"/>
      <c r="MD11"/>
      <c r="ME11"/>
      <c r="MF11"/>
    </row>
    <row r="12" spans="1:344" ht="29.1" customHeight="1" x14ac:dyDescent="0.25">
      <c r="A12" s="100"/>
      <c r="B12" s="96"/>
      <c r="C12" s="667"/>
      <c r="D12" s="667"/>
      <c r="E12" s="667"/>
      <c r="F12" s="757"/>
      <c r="G12" s="761" t="s">
        <v>1220</v>
      </c>
      <c r="H12" s="761" t="s">
        <v>1220</v>
      </c>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c r="IW12"/>
      <c r="IX12"/>
      <c r="IY12"/>
      <c r="IZ12"/>
      <c r="JA12"/>
      <c r="JB12"/>
      <c r="JC12"/>
      <c r="JD12"/>
      <c r="JE12"/>
      <c r="JF12"/>
      <c r="JG12"/>
      <c r="JH12"/>
      <c r="JI12"/>
      <c r="JJ12"/>
      <c r="JK12"/>
      <c r="JL12"/>
      <c r="JM12"/>
      <c r="JN12"/>
      <c r="JO12"/>
      <c r="JP12"/>
      <c r="JQ12"/>
      <c r="JR12"/>
      <c r="JS12"/>
      <c r="JT12"/>
      <c r="JU12"/>
      <c r="JV12"/>
      <c r="JW12"/>
      <c r="JX12"/>
      <c r="JY12"/>
      <c r="JZ12"/>
      <c r="KA12"/>
      <c r="KB12"/>
      <c r="KC12"/>
      <c r="KD12"/>
      <c r="KE12"/>
      <c r="KF12"/>
      <c r="KG12"/>
      <c r="KH12"/>
      <c r="KI12"/>
      <c r="KJ12"/>
      <c r="KK12"/>
      <c r="KL12"/>
      <c r="KM12"/>
      <c r="KN12"/>
      <c r="KO12"/>
      <c r="KP12"/>
      <c r="KQ12"/>
      <c r="KR12"/>
      <c r="KS12"/>
      <c r="KT12"/>
      <c r="KU12"/>
      <c r="KV12"/>
      <c r="KW12"/>
      <c r="KX12"/>
      <c r="KY12"/>
      <c r="KZ12"/>
      <c r="LA12"/>
      <c r="LB12"/>
      <c r="LC12"/>
      <c r="LD12"/>
      <c r="LE12"/>
      <c r="LF12"/>
      <c r="LG12"/>
      <c r="LH12"/>
      <c r="LI12"/>
      <c r="LJ12"/>
      <c r="LK12"/>
      <c r="LL12"/>
      <c r="LM12"/>
      <c r="LN12"/>
      <c r="LO12"/>
      <c r="LP12"/>
      <c r="LQ12"/>
      <c r="LR12"/>
      <c r="LS12"/>
      <c r="LT12"/>
      <c r="LU12"/>
      <c r="LV12"/>
      <c r="LW12"/>
      <c r="LX12"/>
      <c r="LY12"/>
      <c r="LZ12"/>
      <c r="MA12"/>
      <c r="MB12"/>
      <c r="MC12"/>
      <c r="MD12"/>
      <c r="ME12"/>
      <c r="MF12"/>
    </row>
    <row r="13" spans="1:344" ht="29.1" customHeight="1" x14ac:dyDescent="0.25">
      <c r="A13" s="100"/>
      <c r="B13" s="96"/>
      <c r="C13" s="667"/>
      <c r="D13" s="667"/>
      <c r="E13" s="667"/>
      <c r="F13" s="758" t="s">
        <v>1664</v>
      </c>
      <c r="G13" s="762">
        <v>0</v>
      </c>
      <c r="H13" s="762">
        <v>0</v>
      </c>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row>
    <row r="14" spans="1:344" ht="29.1" customHeight="1" x14ac:dyDescent="0.25">
      <c r="A14" s="100"/>
      <c r="B14" s="96"/>
      <c r="C14" s="667"/>
      <c r="D14" s="667"/>
      <c r="E14" s="667"/>
      <c r="F14" s="758" t="s">
        <v>1661</v>
      </c>
      <c r="G14" s="762">
        <v>233.89012702154142</v>
      </c>
      <c r="H14" s="762">
        <v>233.89012702154142</v>
      </c>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c r="LM14"/>
      <c r="LN14"/>
      <c r="LO14"/>
      <c r="LP14"/>
      <c r="LQ14"/>
      <c r="LR14"/>
      <c r="LS14"/>
      <c r="LT14"/>
      <c r="LU14"/>
      <c r="LV14"/>
      <c r="LW14"/>
      <c r="LX14"/>
      <c r="LY14"/>
      <c r="LZ14"/>
      <c r="MA14"/>
      <c r="MB14"/>
      <c r="MC14"/>
      <c r="MD14"/>
      <c r="ME14"/>
      <c r="MF14"/>
    </row>
    <row r="15" spans="1:344" ht="29.1" customHeight="1" x14ac:dyDescent="0.25">
      <c r="A15" s="100"/>
      <c r="B15" s="96"/>
      <c r="C15" s="667"/>
      <c r="D15" s="667"/>
      <c r="E15" s="667"/>
      <c r="F15" s="758" t="s">
        <v>1259</v>
      </c>
      <c r="G15" s="762">
        <v>1.9260681608594872</v>
      </c>
      <c r="H15" s="762">
        <v>1.9260681608594872</v>
      </c>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c r="LQ15"/>
      <c r="LR15"/>
      <c r="LS15"/>
      <c r="LT15"/>
      <c r="LU15"/>
      <c r="LV15"/>
      <c r="LW15"/>
      <c r="LX15"/>
      <c r="LY15"/>
      <c r="LZ15"/>
      <c r="MA15"/>
      <c r="MB15"/>
      <c r="MC15"/>
      <c r="MD15"/>
      <c r="ME15"/>
      <c r="MF15"/>
    </row>
    <row r="16" spans="1:344" ht="29.1" customHeight="1" x14ac:dyDescent="0.25">
      <c r="A16" s="100"/>
      <c r="B16" s="666"/>
      <c r="C16" s="37"/>
      <c r="D16" s="37"/>
      <c r="E16" s="37"/>
      <c r="F16" s="758" t="s">
        <v>1260</v>
      </c>
      <c r="G16" s="762">
        <v>0</v>
      </c>
      <c r="H16" s="762">
        <v>0</v>
      </c>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row>
    <row r="17" spans="1:344" ht="29.1" customHeight="1" x14ac:dyDescent="0.25">
      <c r="A17" s="100"/>
      <c r="B17" s="37"/>
      <c r="C17" s="37"/>
      <c r="D17" s="37"/>
      <c r="E17" s="37"/>
      <c r="F17" s="758" t="s">
        <v>1199</v>
      </c>
      <c r="G17" s="762">
        <v>4732.2879999999996</v>
      </c>
      <c r="H17" s="762">
        <v>4732.2879999999996</v>
      </c>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row>
    <row r="18" spans="1:344" ht="29.1" customHeight="1" x14ac:dyDescent="0.25">
      <c r="A18" s="100"/>
      <c r="B18" s="37"/>
      <c r="C18" s="37"/>
      <c r="D18" s="37"/>
      <c r="E18" s="37"/>
      <c r="F18" s="758" t="s">
        <v>1081</v>
      </c>
      <c r="G18" s="762">
        <v>0</v>
      </c>
      <c r="H18" s="762">
        <v>0</v>
      </c>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row>
    <row r="19" spans="1:344" ht="29.1" customHeight="1" x14ac:dyDescent="0.25">
      <c r="A19" s="100"/>
      <c r="B19" s="37"/>
      <c r="C19" s="37"/>
      <c r="D19" s="37"/>
      <c r="E19" s="37"/>
      <c r="F19" s="758" t="s">
        <v>1082</v>
      </c>
      <c r="G19" s="762">
        <v>46.171730769230763</v>
      </c>
      <c r="H19" s="762">
        <v>46.171730769230763</v>
      </c>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row>
    <row r="20" spans="1:344" ht="29.1" customHeight="1" x14ac:dyDescent="0.25">
      <c r="A20" s="100"/>
      <c r="B20" s="37"/>
      <c r="C20" s="37"/>
      <c r="D20" s="37"/>
      <c r="E20" s="37"/>
      <c r="F20" s="758" t="s">
        <v>1662</v>
      </c>
      <c r="G20" s="762">
        <v>358.95398399999999</v>
      </c>
      <c r="H20" s="762">
        <v>358.95398399999999</v>
      </c>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row>
    <row r="21" spans="1:344" ht="29.1" customHeight="1" x14ac:dyDescent="0.25">
      <c r="A21" s="100"/>
      <c r="B21" s="37"/>
      <c r="C21" s="37"/>
      <c r="D21" s="37"/>
      <c r="E21" s="37"/>
      <c r="F21" s="758" t="s">
        <v>1663</v>
      </c>
      <c r="G21" s="762">
        <v>426.42935999999992</v>
      </c>
      <c r="H21" s="762">
        <v>426.42935999999992</v>
      </c>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row>
    <row r="22" spans="1:344" ht="29.1" customHeight="1" x14ac:dyDescent="0.25">
      <c r="A22" s="100"/>
      <c r="B22" s="37"/>
      <c r="C22" s="37"/>
      <c r="D22" s="37"/>
      <c r="E22" s="37"/>
      <c r="F22" s="758" t="s">
        <v>1668</v>
      </c>
      <c r="G22" s="762">
        <v>676.87199999999984</v>
      </c>
      <c r="H22" s="762">
        <v>676.87199999999984</v>
      </c>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row>
    <row r="23" spans="1:344" ht="29.1" customHeight="1" x14ac:dyDescent="0.25">
      <c r="A23" s="100"/>
      <c r="B23" s="37"/>
      <c r="C23" s="37"/>
      <c r="D23" s="37"/>
      <c r="E23" s="37"/>
      <c r="F23" s="758" t="s">
        <v>1217</v>
      </c>
      <c r="G23" s="762">
        <v>0</v>
      </c>
      <c r="H23" s="762">
        <v>0</v>
      </c>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c r="LP23"/>
      <c r="LQ23"/>
      <c r="LR23"/>
      <c r="LS23"/>
      <c r="LT23"/>
      <c r="LU23"/>
      <c r="LV23"/>
      <c r="LW23"/>
      <c r="LX23"/>
      <c r="LY23"/>
      <c r="LZ23"/>
      <c r="MA23"/>
      <c r="MB23"/>
      <c r="MC23"/>
      <c r="MD23"/>
      <c r="ME23"/>
      <c r="MF23"/>
    </row>
    <row r="24" spans="1:344" ht="29.1" customHeight="1" x14ac:dyDescent="0.25">
      <c r="A24" s="100"/>
      <c r="B24" s="37"/>
      <c r="C24" s="37"/>
      <c r="D24" s="37"/>
      <c r="E24" s="37"/>
      <c r="F24" s="758" t="s">
        <v>1714</v>
      </c>
      <c r="G24" s="762">
        <v>0</v>
      </c>
      <c r="H24" s="762">
        <v>0</v>
      </c>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c r="KU24"/>
      <c r="KV24"/>
      <c r="KW24"/>
      <c r="KX24"/>
      <c r="KY24"/>
      <c r="KZ24"/>
      <c r="LA24"/>
      <c r="LB24"/>
      <c r="LC24"/>
      <c r="LD24"/>
      <c r="LE24"/>
      <c r="LF24"/>
      <c r="LG24"/>
      <c r="LH24"/>
      <c r="LI24"/>
      <c r="LJ24"/>
      <c r="LK24"/>
      <c r="LL24"/>
      <c r="LM24"/>
      <c r="LN24"/>
      <c r="LO24"/>
      <c r="LP24"/>
      <c r="LQ24"/>
      <c r="LR24"/>
      <c r="LS24"/>
      <c r="LT24"/>
      <c r="LU24"/>
      <c r="LV24"/>
      <c r="LW24"/>
      <c r="LX24"/>
      <c r="LY24"/>
      <c r="LZ24"/>
      <c r="MA24"/>
      <c r="MB24"/>
      <c r="MC24"/>
      <c r="MD24"/>
      <c r="ME24"/>
      <c r="MF24"/>
    </row>
    <row r="25" spans="1:344" ht="29.1" customHeight="1" x14ac:dyDescent="0.25">
      <c r="A25" s="100"/>
      <c r="B25" s="37"/>
      <c r="C25" s="37"/>
      <c r="D25" s="37"/>
      <c r="E25" s="37"/>
      <c r="F25" s="758" t="s">
        <v>1660</v>
      </c>
      <c r="G25" s="762">
        <v>0</v>
      </c>
      <c r="H25" s="762">
        <v>0</v>
      </c>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c r="JA25"/>
      <c r="JB25"/>
      <c r="JC25"/>
      <c r="JD25"/>
      <c r="JE25"/>
      <c r="JF25"/>
      <c r="JG25"/>
      <c r="JH25"/>
      <c r="JI25"/>
      <c r="JJ25"/>
      <c r="JK25"/>
      <c r="JL25"/>
      <c r="JM25"/>
      <c r="JN25"/>
      <c r="JO25"/>
      <c r="JP25"/>
      <c r="JQ25"/>
      <c r="JR25"/>
      <c r="JS25"/>
      <c r="JT25"/>
      <c r="JU25"/>
      <c r="JV25"/>
      <c r="JW25"/>
      <c r="JX25"/>
      <c r="JY25"/>
      <c r="JZ25"/>
      <c r="KA25"/>
      <c r="KB25"/>
      <c r="KC25"/>
      <c r="KD25"/>
      <c r="KE25"/>
      <c r="KF25"/>
      <c r="KG25"/>
      <c r="KH25"/>
      <c r="KI25"/>
      <c r="KJ25"/>
      <c r="KK25"/>
      <c r="KL25"/>
      <c r="KM25"/>
      <c r="KN25"/>
      <c r="KO25"/>
      <c r="KP25"/>
      <c r="KQ25"/>
      <c r="KR25"/>
      <c r="KS25"/>
      <c r="KT25"/>
      <c r="KU25"/>
      <c r="KV25"/>
      <c r="KW25"/>
      <c r="KX25"/>
      <c r="KY25"/>
      <c r="KZ25"/>
      <c r="LA25"/>
      <c r="LB25"/>
      <c r="LC25"/>
      <c r="LD25"/>
      <c r="LE25"/>
      <c r="LF25"/>
      <c r="LG25"/>
      <c r="LH25"/>
      <c r="LI25"/>
      <c r="LJ25"/>
      <c r="LK25"/>
      <c r="LL25"/>
      <c r="LM25"/>
      <c r="LN25"/>
      <c r="LO25"/>
      <c r="LP25"/>
      <c r="LQ25"/>
      <c r="LR25"/>
      <c r="LS25"/>
      <c r="LT25"/>
      <c r="LU25"/>
      <c r="LV25"/>
      <c r="LW25"/>
      <c r="LX25"/>
      <c r="LY25"/>
      <c r="LZ25"/>
      <c r="MA25"/>
      <c r="MB25"/>
      <c r="MC25"/>
      <c r="MD25"/>
      <c r="ME25"/>
      <c r="MF25"/>
    </row>
    <row r="26" spans="1:344" ht="29.1" customHeight="1" x14ac:dyDescent="0.25">
      <c r="A26" s="100"/>
      <c r="B26" s="37"/>
      <c r="C26" s="37"/>
      <c r="D26" s="37"/>
      <c r="E26" s="37"/>
      <c r="F26" s="758" t="s">
        <v>1717</v>
      </c>
      <c r="G26" s="762">
        <v>0</v>
      </c>
      <c r="H26" s="762">
        <v>0</v>
      </c>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c r="IU26"/>
      <c r="IV26"/>
      <c r="IW26"/>
      <c r="IX26"/>
      <c r="IY26"/>
      <c r="IZ26"/>
      <c r="JA26"/>
      <c r="JB26"/>
      <c r="JC26"/>
      <c r="JD26"/>
      <c r="JE26"/>
      <c r="JF26"/>
      <c r="JG26"/>
      <c r="JH26"/>
      <c r="JI26"/>
      <c r="JJ26"/>
      <c r="JK26"/>
      <c r="JL26"/>
      <c r="JM26"/>
      <c r="JN26"/>
      <c r="JO26"/>
      <c r="JP26"/>
      <c r="JQ26"/>
      <c r="JR26"/>
      <c r="JS26"/>
      <c r="JT26"/>
      <c r="JU26"/>
      <c r="JV26"/>
      <c r="JW26"/>
      <c r="JX26"/>
      <c r="JY26"/>
      <c r="JZ26"/>
      <c r="KA26"/>
      <c r="KB26"/>
      <c r="KC26"/>
      <c r="KD26"/>
      <c r="KE26"/>
      <c r="KF26"/>
      <c r="KG26"/>
      <c r="KH26"/>
      <c r="KI26"/>
      <c r="KJ26"/>
      <c r="KK26"/>
      <c r="KL26"/>
      <c r="KM26"/>
      <c r="KN26"/>
      <c r="KO26"/>
      <c r="KP26"/>
      <c r="KQ26"/>
      <c r="KR26"/>
      <c r="KS26"/>
      <c r="KT26"/>
      <c r="KU26"/>
      <c r="KV26"/>
      <c r="KW26"/>
      <c r="KX26"/>
      <c r="KY26"/>
      <c r="KZ26"/>
      <c r="LA26"/>
      <c r="LB26"/>
      <c r="LC26"/>
      <c r="LD26"/>
      <c r="LE26"/>
      <c r="LF26"/>
      <c r="LG26"/>
      <c r="LH26"/>
      <c r="LI26"/>
      <c r="LJ26"/>
      <c r="LK26"/>
      <c r="LL26"/>
      <c r="LM26"/>
      <c r="LN26"/>
      <c r="LO26"/>
      <c r="LP26"/>
      <c r="LQ26"/>
      <c r="LR26"/>
      <c r="LS26"/>
      <c r="LT26"/>
      <c r="LU26"/>
      <c r="LV26"/>
      <c r="LW26"/>
      <c r="LX26"/>
      <c r="LY26"/>
      <c r="LZ26"/>
      <c r="MA26"/>
      <c r="MB26"/>
      <c r="MC26"/>
      <c r="MD26"/>
      <c r="ME26"/>
      <c r="MF26"/>
    </row>
    <row r="27" spans="1:344" ht="29.1" customHeight="1" x14ac:dyDescent="0.25">
      <c r="A27" s="100"/>
      <c r="B27" s="37"/>
      <c r="C27" s="37"/>
      <c r="D27" s="37"/>
      <c r="E27" s="37"/>
      <c r="F27" s="758" t="s">
        <v>1731</v>
      </c>
      <c r="G27" s="762">
        <v>0</v>
      </c>
      <c r="H27" s="762">
        <v>0</v>
      </c>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c r="IU27"/>
      <c r="IV27"/>
      <c r="IW27"/>
      <c r="IX27"/>
      <c r="IY27"/>
      <c r="IZ27"/>
      <c r="JA27"/>
      <c r="JB27"/>
      <c r="JC27"/>
      <c r="JD27"/>
      <c r="JE27"/>
      <c r="JF27"/>
      <c r="JG27"/>
      <c r="JH27"/>
      <c r="JI27"/>
      <c r="JJ27"/>
      <c r="JK27"/>
      <c r="JL27"/>
      <c r="JM27"/>
      <c r="JN27"/>
      <c r="JO27"/>
      <c r="JP27"/>
      <c r="JQ27"/>
      <c r="JR27"/>
      <c r="JS27"/>
      <c r="JT27"/>
      <c r="JU27"/>
      <c r="JV27"/>
      <c r="JW27"/>
      <c r="JX27"/>
      <c r="JY27"/>
      <c r="JZ27"/>
      <c r="KA27"/>
      <c r="KB27"/>
      <c r="KC27"/>
      <c r="KD27"/>
      <c r="KE27"/>
      <c r="KF27"/>
      <c r="KG27"/>
      <c r="KH27"/>
      <c r="KI27"/>
      <c r="KJ27"/>
      <c r="KK27"/>
      <c r="KL27"/>
      <c r="KM27"/>
      <c r="KN27"/>
      <c r="KO27"/>
      <c r="KP27"/>
      <c r="KQ27"/>
      <c r="KR27"/>
      <c r="KS27"/>
      <c r="KT27"/>
      <c r="KU27"/>
      <c r="KV27"/>
      <c r="KW27"/>
      <c r="KX27"/>
      <c r="KY27"/>
      <c r="KZ27"/>
      <c r="LA27"/>
      <c r="LB27"/>
      <c r="LC27"/>
      <c r="LD27"/>
      <c r="LE27"/>
      <c r="LF27"/>
      <c r="LG27"/>
      <c r="LH27"/>
      <c r="LI27"/>
      <c r="LJ27"/>
      <c r="LK27"/>
      <c r="LL27"/>
      <c r="LM27"/>
      <c r="LN27"/>
      <c r="LO27"/>
      <c r="LP27"/>
      <c r="LQ27"/>
      <c r="LR27"/>
      <c r="LS27"/>
      <c r="LT27"/>
      <c r="LU27"/>
      <c r="LV27"/>
      <c r="LW27"/>
      <c r="LX27"/>
      <c r="LY27"/>
      <c r="LZ27"/>
      <c r="MA27"/>
      <c r="MB27"/>
      <c r="MC27"/>
      <c r="MD27"/>
      <c r="ME27"/>
      <c r="MF27"/>
    </row>
    <row r="28" spans="1:344" ht="29.1" customHeight="1" x14ac:dyDescent="0.25">
      <c r="A28" s="100"/>
      <c r="B28" s="37"/>
      <c r="C28" s="37"/>
      <c r="D28" s="37"/>
      <c r="E28" s="37"/>
      <c r="F28" s="758" t="s">
        <v>1677</v>
      </c>
      <c r="G28" s="762">
        <v>1643.703982007683</v>
      </c>
      <c r="H28" s="762">
        <v>1643.703982007683</v>
      </c>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c r="IW28"/>
      <c r="IX28"/>
      <c r="IY28"/>
      <c r="IZ28"/>
      <c r="JA28"/>
      <c r="JB28"/>
      <c r="JC28"/>
      <c r="JD28"/>
      <c r="JE28"/>
      <c r="JF28"/>
      <c r="JG28"/>
      <c r="JH28"/>
      <c r="JI28"/>
      <c r="JJ28"/>
      <c r="JK28"/>
      <c r="JL28"/>
      <c r="JM28"/>
      <c r="JN28"/>
      <c r="JO28"/>
      <c r="JP28"/>
      <c r="JQ28"/>
      <c r="JR28"/>
      <c r="JS28"/>
      <c r="JT28"/>
      <c r="JU28"/>
      <c r="JV28"/>
      <c r="JW28"/>
      <c r="JX28"/>
      <c r="JY28"/>
      <c r="JZ28"/>
      <c r="KA28"/>
      <c r="KB28"/>
      <c r="KC28"/>
      <c r="KD28"/>
      <c r="KE28"/>
      <c r="KF28"/>
      <c r="KG28"/>
      <c r="KH28"/>
      <c r="KI28"/>
      <c r="KJ28"/>
      <c r="KK28"/>
      <c r="KL28"/>
      <c r="KM28"/>
      <c r="KN28"/>
      <c r="KO28"/>
      <c r="KP28"/>
      <c r="KQ28"/>
      <c r="KR28"/>
      <c r="KS28"/>
      <c r="KT28"/>
      <c r="KU28"/>
      <c r="KV28"/>
      <c r="KW28"/>
      <c r="KX28"/>
      <c r="KY28"/>
      <c r="KZ28"/>
      <c r="LA28"/>
      <c r="LB28"/>
      <c r="LC28"/>
      <c r="LD28"/>
      <c r="LE28"/>
      <c r="LF28"/>
      <c r="LG28"/>
      <c r="LH28"/>
      <c r="LI28"/>
      <c r="LJ28"/>
      <c r="LK28"/>
      <c r="LL28"/>
      <c r="LM28"/>
      <c r="LN28"/>
      <c r="LO28"/>
      <c r="LP28"/>
      <c r="LQ28"/>
      <c r="LR28"/>
      <c r="LS28"/>
      <c r="LT28"/>
      <c r="LU28"/>
      <c r="LV28"/>
      <c r="LW28"/>
      <c r="LX28"/>
      <c r="LY28"/>
      <c r="LZ28"/>
      <c r="MA28"/>
      <c r="MB28"/>
      <c r="MC28"/>
      <c r="MD28"/>
      <c r="ME28"/>
      <c r="MF28"/>
    </row>
    <row r="29" spans="1:344" ht="29.1" customHeight="1" x14ac:dyDescent="0.25">
      <c r="A29" s="100"/>
      <c r="B29" s="37"/>
      <c r="C29" s="37"/>
      <c r="D29" s="37"/>
      <c r="E29" s="37"/>
      <c r="F29" s="758" t="s">
        <v>797</v>
      </c>
      <c r="G29" s="762">
        <v>328</v>
      </c>
      <c r="H29" s="762">
        <v>328</v>
      </c>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c r="IU29"/>
      <c r="IV29"/>
      <c r="IW29"/>
      <c r="IX29"/>
      <c r="IY29"/>
      <c r="IZ29"/>
      <c r="JA29"/>
      <c r="JB29"/>
      <c r="JC29"/>
      <c r="JD29"/>
      <c r="JE29"/>
      <c r="JF29"/>
      <c r="JG29"/>
      <c r="JH29"/>
      <c r="JI29"/>
      <c r="JJ29"/>
      <c r="JK29"/>
      <c r="JL29"/>
      <c r="JM29"/>
      <c r="JN29"/>
      <c r="JO29"/>
      <c r="JP29"/>
      <c r="JQ29"/>
      <c r="JR29"/>
      <c r="JS29"/>
      <c r="JT29"/>
      <c r="JU29"/>
      <c r="JV29"/>
      <c r="JW29"/>
      <c r="JX29"/>
      <c r="JY29"/>
      <c r="JZ29"/>
      <c r="KA29"/>
      <c r="KB29"/>
      <c r="KC29"/>
      <c r="KD29"/>
      <c r="KE29"/>
      <c r="KF29"/>
      <c r="KG29"/>
      <c r="KH29"/>
      <c r="KI29"/>
      <c r="KJ29"/>
      <c r="KK29"/>
      <c r="KL29"/>
      <c r="KM29"/>
      <c r="KN29"/>
      <c r="KO29"/>
      <c r="KP29"/>
      <c r="KQ29"/>
      <c r="KR29"/>
      <c r="KS29"/>
      <c r="KT29"/>
      <c r="KU29"/>
      <c r="KV29"/>
      <c r="KW29"/>
      <c r="KX29"/>
      <c r="KY29"/>
      <c r="KZ29"/>
      <c r="LA29"/>
      <c r="LB29"/>
      <c r="LC29"/>
      <c r="LD29"/>
      <c r="LE29"/>
      <c r="LF29"/>
      <c r="LG29"/>
      <c r="LH29"/>
      <c r="LI29"/>
      <c r="LJ29"/>
      <c r="LK29"/>
      <c r="LL29"/>
      <c r="LM29"/>
      <c r="LN29"/>
      <c r="LO29"/>
      <c r="LP29"/>
      <c r="LQ29"/>
      <c r="LR29"/>
      <c r="LS29"/>
      <c r="LT29"/>
      <c r="LU29"/>
      <c r="LV29"/>
      <c r="LW29"/>
      <c r="LX29"/>
      <c r="LY29"/>
      <c r="LZ29"/>
      <c r="MA29"/>
      <c r="MB29"/>
      <c r="MC29"/>
      <c r="MD29"/>
      <c r="ME29"/>
      <c r="MF29"/>
    </row>
    <row r="30" spans="1:344" ht="29.1" customHeight="1" thickBot="1" x14ac:dyDescent="0.3">
      <c r="A30" s="100"/>
      <c r="B30" s="37"/>
      <c r="C30" s="37"/>
      <c r="D30" s="100"/>
      <c r="E30" s="37"/>
      <c r="F30" s="758" t="s">
        <v>1670</v>
      </c>
      <c r="G30" s="762">
        <v>0</v>
      </c>
      <c r="H30" s="762">
        <v>0</v>
      </c>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c r="IW30"/>
      <c r="IX30"/>
      <c r="IY30"/>
      <c r="IZ30"/>
      <c r="JA30"/>
      <c r="JB30"/>
      <c r="JC30"/>
      <c r="JD30"/>
      <c r="JE30"/>
      <c r="JF30"/>
      <c r="JG30"/>
      <c r="JH30"/>
      <c r="JI30"/>
      <c r="JJ30"/>
      <c r="JK30"/>
      <c r="JL30"/>
      <c r="JM30"/>
      <c r="JN30"/>
      <c r="JO30"/>
      <c r="JP30"/>
      <c r="JQ30"/>
      <c r="JR30"/>
      <c r="JS30"/>
      <c r="JT30"/>
      <c r="JU30"/>
      <c r="JV30"/>
      <c r="JW30"/>
      <c r="JX30"/>
      <c r="JY30"/>
      <c r="JZ30"/>
      <c r="KA30"/>
      <c r="KB30"/>
      <c r="KC30"/>
      <c r="KD30"/>
      <c r="KE30"/>
      <c r="KF30"/>
      <c r="KG30"/>
      <c r="KH30"/>
      <c r="KI30"/>
      <c r="KJ30"/>
      <c r="KK30"/>
      <c r="KL30"/>
      <c r="KM30"/>
      <c r="KN30"/>
      <c r="KO30"/>
      <c r="KP30"/>
      <c r="KQ30"/>
      <c r="KR30"/>
      <c r="KS30"/>
      <c r="KT30"/>
      <c r="KU30"/>
      <c r="KV30"/>
      <c r="KW30"/>
      <c r="KX30"/>
      <c r="KY30"/>
      <c r="KZ30"/>
      <c r="LA30"/>
      <c r="LB30"/>
      <c r="LC30"/>
      <c r="LD30"/>
      <c r="LE30"/>
      <c r="LF30"/>
      <c r="LG30"/>
      <c r="LH30"/>
      <c r="LI30"/>
      <c r="LJ30"/>
      <c r="LK30"/>
      <c r="LL30"/>
      <c r="LM30"/>
      <c r="LN30"/>
      <c r="LO30"/>
      <c r="LP30"/>
      <c r="LQ30"/>
      <c r="LR30"/>
      <c r="LS30"/>
      <c r="LT30"/>
      <c r="LU30"/>
      <c r="LV30"/>
      <c r="LW30"/>
      <c r="LX30"/>
      <c r="LY30"/>
      <c r="LZ30"/>
      <c r="MA30"/>
      <c r="MB30"/>
      <c r="MC30"/>
      <c r="MD30"/>
      <c r="ME30"/>
      <c r="MF30"/>
    </row>
    <row r="31" spans="1:344" ht="29.1" customHeight="1" thickTop="1" thickBot="1" x14ac:dyDescent="0.3">
      <c r="A31" s="100"/>
      <c r="B31" s="100"/>
      <c r="C31" s="100"/>
      <c r="D31" s="100"/>
      <c r="E31" s="100"/>
      <c r="F31"/>
      <c r="G31" s="763">
        <v>6476.5312699516307</v>
      </c>
      <c r="H31" s="763">
        <v>6476.5312699516307</v>
      </c>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c r="IW31"/>
      <c r="IX31"/>
      <c r="IY31"/>
      <c r="IZ31"/>
      <c r="JA31"/>
      <c r="JB31"/>
      <c r="JC31"/>
      <c r="JD31"/>
      <c r="JE31"/>
      <c r="JF31"/>
      <c r="JG31"/>
      <c r="JH31"/>
      <c r="JI31"/>
      <c r="JJ31"/>
      <c r="JK31"/>
      <c r="JL31"/>
      <c r="JM31"/>
      <c r="JN31"/>
      <c r="JO31"/>
      <c r="JP31"/>
      <c r="JQ31"/>
      <c r="JR31"/>
      <c r="JS31"/>
      <c r="JT31"/>
      <c r="JU31"/>
      <c r="JV31"/>
      <c r="JW31"/>
      <c r="JX31"/>
      <c r="JY31"/>
      <c r="JZ31"/>
      <c r="KA31"/>
      <c r="KB31"/>
      <c r="KC31"/>
      <c r="KD31"/>
      <c r="KE31"/>
      <c r="KF31"/>
      <c r="KG31"/>
      <c r="KH31"/>
      <c r="KI31"/>
      <c r="KJ31"/>
      <c r="KK31"/>
      <c r="KL31"/>
      <c r="KM31"/>
      <c r="KN31"/>
      <c r="KO31"/>
      <c r="KP31"/>
      <c r="KQ31"/>
      <c r="KR31"/>
      <c r="KS31"/>
      <c r="KT31"/>
      <c r="KU31"/>
      <c r="KV31"/>
      <c r="KW31"/>
      <c r="KX31"/>
      <c r="KY31"/>
      <c r="KZ31"/>
      <c r="LA31"/>
      <c r="LB31"/>
      <c r="LC31"/>
      <c r="LD31"/>
      <c r="LE31"/>
      <c r="LF31"/>
      <c r="LG31"/>
      <c r="LH31"/>
      <c r="LI31"/>
      <c r="LJ31"/>
      <c r="LK31"/>
      <c r="LL31"/>
      <c r="LM31"/>
      <c r="LN31"/>
      <c r="LO31"/>
      <c r="LP31"/>
      <c r="LQ31"/>
      <c r="LR31"/>
      <c r="LS31"/>
      <c r="LT31"/>
      <c r="LU31"/>
      <c r="LV31"/>
      <c r="LW31"/>
      <c r="LX31"/>
      <c r="LY31"/>
      <c r="LZ31"/>
      <c r="MA31"/>
      <c r="MB31"/>
      <c r="MC31"/>
      <c r="MD31"/>
      <c r="ME31"/>
      <c r="MF31"/>
    </row>
    <row r="32" spans="1:344" ht="29.1" customHeight="1" thickTop="1" x14ac:dyDescent="0.25">
      <c r="A32" s="100"/>
      <c r="B32" s="100"/>
      <c r="C32" s="100"/>
      <c r="D32" s="100"/>
      <c r="E32" s="100"/>
      <c r="G32"/>
      <c r="H32"/>
      <c r="I32" s="37"/>
      <c r="J32" s="37"/>
      <c r="K32" s="37"/>
      <c r="L32" s="37"/>
      <c r="M32" s="37"/>
      <c r="N32" s="37"/>
      <c r="O32" s="37"/>
      <c r="P32"/>
      <c r="Q32"/>
      <c r="R32"/>
      <c r="S32"/>
      <c r="T32"/>
      <c r="U32"/>
      <c r="V32" s="100"/>
      <c r="W32" s="100"/>
      <c r="X32" s="100"/>
      <c r="Y32" s="100"/>
      <c r="Z32" s="100"/>
    </row>
    <row r="33" spans="1:305" ht="29.1" customHeight="1" x14ac:dyDescent="0.25">
      <c r="A33" s="100"/>
      <c r="B33" s="735" t="s">
        <v>1272</v>
      </c>
      <c r="C33" s="764" t="s">
        <v>1219</v>
      </c>
      <c r="D33" s="764" t="s">
        <v>1231</v>
      </c>
      <c r="E33" s="765" t="s">
        <v>1679</v>
      </c>
      <c r="F33"/>
      <c r="G33"/>
      <c r="H33"/>
      <c r="I33"/>
      <c r="J33"/>
      <c r="K33"/>
      <c r="L33"/>
      <c r="M33"/>
      <c r="N33"/>
      <c r="O33"/>
      <c r="P33"/>
      <c r="Q33"/>
      <c r="R33"/>
      <c r="S33"/>
      <c r="T33"/>
      <c r="U33"/>
      <c r="V33"/>
      <c r="W33"/>
      <c r="X33"/>
      <c r="Y33"/>
      <c r="Z33"/>
      <c r="AA33" s="746" t="s">
        <v>1708</v>
      </c>
      <c r="AB33" s="746" t="s">
        <v>1709</v>
      </c>
      <c r="AC33" s="746" t="s">
        <v>1710</v>
      </c>
      <c r="AD33" s="746" t="s">
        <v>1711</v>
      </c>
      <c r="AE33" s="746" t="s">
        <v>1712</v>
      </c>
      <c r="AF33" s="746" t="s">
        <v>1713</v>
      </c>
      <c r="AG33" s="735" t="s">
        <v>1732</v>
      </c>
      <c r="AH33" s="746" t="s">
        <v>1733</v>
      </c>
      <c r="AI33" s="746" t="s">
        <v>1734</v>
      </c>
      <c r="AJ33" s="746" t="s">
        <v>1735</v>
      </c>
      <c r="AK33" s="746" t="s">
        <v>1736</v>
      </c>
      <c r="AL33" s="746" t="s">
        <v>1737</v>
      </c>
      <c r="AM33" s="746" t="s">
        <v>1738</v>
      </c>
      <c r="AN33" s="746" t="s">
        <v>1739</v>
      </c>
      <c r="AO33" s="746" t="s">
        <v>1740</v>
      </c>
      <c r="AP33" s="746" t="s">
        <v>1741</v>
      </c>
      <c r="AQ33" s="746" t="s">
        <v>1742</v>
      </c>
      <c r="AR33" s="746" t="s">
        <v>1743</v>
      </c>
      <c r="AS33" s="746" t="s">
        <v>1744</v>
      </c>
      <c r="AT33" s="746" t="s">
        <v>1745</v>
      </c>
      <c r="AU33" s="746" t="s">
        <v>1746</v>
      </c>
      <c r="AV33" s="746" t="s">
        <v>1747</v>
      </c>
      <c r="AW33" s="746" t="s">
        <v>1748</v>
      </c>
      <c r="AX33" s="746" t="s">
        <v>1749</v>
      </c>
      <c r="AY33" s="746" t="s">
        <v>1750</v>
      </c>
      <c r="AZ33" s="746" t="s">
        <v>1751</v>
      </c>
      <c r="BA33" s="746" t="s">
        <v>1752</v>
      </c>
      <c r="BB33" s="746" t="s">
        <v>1753</v>
      </c>
      <c r="BC33" s="746" t="s">
        <v>1754</v>
      </c>
      <c r="BD33" s="746" t="s">
        <v>1755</v>
      </c>
      <c r="BE33" s="746" t="s">
        <v>1756</v>
      </c>
      <c r="BF33" s="746" t="s">
        <v>1757</v>
      </c>
      <c r="BG33" s="746" t="s">
        <v>1758</v>
      </c>
      <c r="BH33" s="746" t="s">
        <v>1759</v>
      </c>
      <c r="BI33" s="746" t="s">
        <v>1760</v>
      </c>
      <c r="BJ33" s="746" t="s">
        <v>1761</v>
      </c>
      <c r="BK33" s="746" t="s">
        <v>1762</v>
      </c>
      <c r="BL33" s="746" t="s">
        <v>1763</v>
      </c>
      <c r="BM33" s="746" t="s">
        <v>1764</v>
      </c>
      <c r="BN33" s="746" t="s">
        <v>1765</v>
      </c>
      <c r="BO33" s="746" t="s">
        <v>1766</v>
      </c>
      <c r="BP33" s="746" t="s">
        <v>1767</v>
      </c>
      <c r="BQ33" s="746" t="s">
        <v>1768</v>
      </c>
      <c r="BR33" s="746" t="s">
        <v>1769</v>
      </c>
      <c r="BS33" s="746" t="s">
        <v>1770</v>
      </c>
      <c r="BT33" s="746" t="s">
        <v>1771</v>
      </c>
      <c r="BU33" s="746" t="s">
        <v>1772</v>
      </c>
      <c r="BV33" s="746" t="s">
        <v>1773</v>
      </c>
      <c r="BW33" s="746" t="s">
        <v>1774</v>
      </c>
      <c r="BX33" s="746" t="s">
        <v>1775</v>
      </c>
      <c r="BY33" s="746" t="s">
        <v>1776</v>
      </c>
      <c r="BZ33" s="746" t="s">
        <v>1777</v>
      </c>
      <c r="CA33" s="746" t="s">
        <v>1778</v>
      </c>
      <c r="CB33" s="746" t="s">
        <v>1779</v>
      </c>
      <c r="CC33" s="746" t="s">
        <v>1780</v>
      </c>
      <c r="CD33" s="746" t="s">
        <v>1781</v>
      </c>
      <c r="CE33" s="746" t="s">
        <v>1782</v>
      </c>
      <c r="CF33" s="746" t="s">
        <v>1783</v>
      </c>
      <c r="CG33" s="746" t="s">
        <v>1784</v>
      </c>
      <c r="CH33" s="746" t="s">
        <v>1785</v>
      </c>
      <c r="CI33" s="746" t="s">
        <v>1786</v>
      </c>
      <c r="CJ33" s="746" t="s">
        <v>1787</v>
      </c>
      <c r="CK33" s="746" t="s">
        <v>1788</v>
      </c>
      <c r="CL33" s="746" t="s">
        <v>1789</v>
      </c>
      <c r="CM33" s="746" t="s">
        <v>1790</v>
      </c>
      <c r="CN33" s="746" t="s">
        <v>1791</v>
      </c>
      <c r="CO33" s="746" t="s">
        <v>1792</v>
      </c>
      <c r="CP33" s="746" t="s">
        <v>1793</v>
      </c>
      <c r="CQ33" s="746" t="s">
        <v>1794</v>
      </c>
      <c r="CR33" s="746" t="s">
        <v>1795</v>
      </c>
      <c r="CS33" s="746" t="s">
        <v>1796</v>
      </c>
      <c r="CT33" s="746" t="s">
        <v>1797</v>
      </c>
      <c r="CU33" s="746" t="s">
        <v>1798</v>
      </c>
      <c r="CV33" s="746" t="s">
        <v>1799</v>
      </c>
      <c r="CW33" s="746" t="s">
        <v>1800</v>
      </c>
      <c r="CX33" s="746" t="s">
        <v>1801</v>
      </c>
      <c r="CY33" s="746" t="s">
        <v>1802</v>
      </c>
      <c r="CZ33" s="746" t="s">
        <v>1803</v>
      </c>
      <c r="DA33" s="746" t="s">
        <v>1804</v>
      </c>
      <c r="DB33" s="746" t="s">
        <v>1805</v>
      </c>
      <c r="DC33" s="746" t="s">
        <v>1806</v>
      </c>
      <c r="DD33" s="746" t="s">
        <v>1807</v>
      </c>
      <c r="DE33" s="746" t="s">
        <v>1808</v>
      </c>
      <c r="DF33" s="746" t="s">
        <v>1809</v>
      </c>
      <c r="DG33" s="746" t="s">
        <v>1810</v>
      </c>
      <c r="DH33" s="746" t="s">
        <v>1811</v>
      </c>
      <c r="DI33" s="746" t="s">
        <v>1812</v>
      </c>
      <c r="DJ33" s="746" t="s">
        <v>1813</v>
      </c>
      <c r="DK33" s="746" t="s">
        <v>1814</v>
      </c>
      <c r="DL33" s="746" t="s">
        <v>1815</v>
      </c>
      <c r="DM33" s="746" t="s">
        <v>1816</v>
      </c>
      <c r="DN33" s="746" t="s">
        <v>1817</v>
      </c>
      <c r="DO33" s="746" t="s">
        <v>1818</v>
      </c>
      <c r="DP33" s="746" t="s">
        <v>1819</v>
      </c>
      <c r="DQ33" s="746" t="s">
        <v>1820</v>
      </c>
      <c r="DR33" s="746" t="s">
        <v>1821</v>
      </c>
      <c r="DS33" s="746" t="s">
        <v>1822</v>
      </c>
      <c r="DT33" s="746" t="s">
        <v>1823</v>
      </c>
      <c r="DU33" s="746" t="s">
        <v>1824</v>
      </c>
      <c r="DV33" s="746" t="s">
        <v>1825</v>
      </c>
      <c r="DW33" s="746" t="s">
        <v>1826</v>
      </c>
      <c r="DX33" s="746" t="s">
        <v>1827</v>
      </c>
      <c r="DY33" s="746" t="s">
        <v>1828</v>
      </c>
      <c r="DZ33" s="746" t="s">
        <v>1829</v>
      </c>
      <c r="EA33" s="746" t="s">
        <v>1830</v>
      </c>
      <c r="EB33" s="746" t="s">
        <v>1831</v>
      </c>
      <c r="EC33" s="746" t="s">
        <v>1832</v>
      </c>
      <c r="ED33" s="746" t="s">
        <v>1833</v>
      </c>
      <c r="EE33" s="746" t="s">
        <v>1834</v>
      </c>
      <c r="EF33" s="746" t="s">
        <v>1835</v>
      </c>
      <c r="EG33" s="746" t="s">
        <v>1836</v>
      </c>
      <c r="EH33" s="746" t="s">
        <v>1837</v>
      </c>
      <c r="EI33" s="746" t="s">
        <v>1838</v>
      </c>
      <c r="EJ33" s="746" t="s">
        <v>1839</v>
      </c>
      <c r="EK33" s="746" t="s">
        <v>1840</v>
      </c>
      <c r="EL33" s="746" t="s">
        <v>1841</v>
      </c>
      <c r="EM33" s="746" t="s">
        <v>1842</v>
      </c>
      <c r="EN33" s="746" t="s">
        <v>1843</v>
      </c>
      <c r="EO33" s="746" t="s">
        <v>1844</v>
      </c>
      <c r="EP33" s="746" t="s">
        <v>1845</v>
      </c>
      <c r="EQ33" s="746" t="s">
        <v>1846</v>
      </c>
      <c r="ER33" s="746" t="s">
        <v>1847</v>
      </c>
      <c r="ES33" s="746" t="s">
        <v>1848</v>
      </c>
      <c r="ET33" s="746" t="s">
        <v>1849</v>
      </c>
      <c r="EU33" s="746" t="s">
        <v>1850</v>
      </c>
      <c r="EV33" s="746" t="s">
        <v>1851</v>
      </c>
      <c r="EW33" s="746" t="s">
        <v>1852</v>
      </c>
      <c r="EX33" s="746" t="s">
        <v>1853</v>
      </c>
      <c r="EY33" s="746" t="s">
        <v>1854</v>
      </c>
      <c r="EZ33" s="746" t="s">
        <v>1855</v>
      </c>
      <c r="FA33" s="746" t="s">
        <v>1856</v>
      </c>
      <c r="FB33" s="746" t="s">
        <v>1857</v>
      </c>
      <c r="FC33" s="746" t="s">
        <v>1858</v>
      </c>
      <c r="FD33" s="746" t="s">
        <v>1859</v>
      </c>
      <c r="FE33" s="746" t="s">
        <v>1860</v>
      </c>
      <c r="FF33" s="746" t="s">
        <v>1861</v>
      </c>
      <c r="FG33" s="746" t="s">
        <v>1862</v>
      </c>
      <c r="FH33" s="746" t="s">
        <v>1863</v>
      </c>
      <c r="FI33" s="746" t="s">
        <v>1864</v>
      </c>
      <c r="FJ33" s="746" t="s">
        <v>1865</v>
      </c>
      <c r="FK33" s="746" t="s">
        <v>1866</v>
      </c>
      <c r="FL33" s="746" t="s">
        <v>1867</v>
      </c>
      <c r="FM33" s="746" t="s">
        <v>1868</v>
      </c>
      <c r="FN33" s="746" t="s">
        <v>1869</v>
      </c>
      <c r="FO33" s="746" t="s">
        <v>1870</v>
      </c>
      <c r="FP33" s="746" t="s">
        <v>1871</v>
      </c>
      <c r="FQ33" s="746" t="s">
        <v>1872</v>
      </c>
      <c r="FR33" s="746" t="s">
        <v>1873</v>
      </c>
      <c r="FS33" s="746" t="s">
        <v>1874</v>
      </c>
      <c r="FT33" s="746" t="s">
        <v>1875</v>
      </c>
      <c r="FU33" s="746" t="s">
        <v>1876</v>
      </c>
      <c r="FV33" s="746" t="s">
        <v>1877</v>
      </c>
      <c r="FW33" s="746" t="s">
        <v>1878</v>
      </c>
      <c r="FX33" s="746" t="s">
        <v>1879</v>
      </c>
      <c r="FY33" s="746" t="s">
        <v>1880</v>
      </c>
      <c r="FZ33" s="746" t="s">
        <v>1881</v>
      </c>
      <c r="GA33" s="746" t="s">
        <v>1882</v>
      </c>
      <c r="GB33" s="746" t="s">
        <v>1883</v>
      </c>
      <c r="GC33" s="746" t="s">
        <v>1884</v>
      </c>
      <c r="GD33" s="746" t="s">
        <v>1885</v>
      </c>
      <c r="GE33" s="746" t="s">
        <v>1886</v>
      </c>
      <c r="GF33" s="746" t="s">
        <v>1887</v>
      </c>
      <c r="GG33" s="746" t="s">
        <v>1888</v>
      </c>
      <c r="GH33" s="746" t="s">
        <v>1889</v>
      </c>
      <c r="GI33" s="746" t="s">
        <v>1890</v>
      </c>
      <c r="GJ33" s="746" t="s">
        <v>1891</v>
      </c>
      <c r="GK33" s="746" t="s">
        <v>1892</v>
      </c>
      <c r="GL33" s="746" t="s">
        <v>1893</v>
      </c>
      <c r="GM33" s="746" t="s">
        <v>1894</v>
      </c>
      <c r="GN33" s="746" t="s">
        <v>1895</v>
      </c>
      <c r="GO33" s="746" t="s">
        <v>1896</v>
      </c>
      <c r="GP33" s="746" t="s">
        <v>1897</v>
      </c>
      <c r="GQ33" s="746" t="s">
        <v>1898</v>
      </c>
      <c r="GR33" s="746" t="s">
        <v>1899</v>
      </c>
      <c r="GS33" s="746" t="s">
        <v>1900</v>
      </c>
      <c r="GT33" s="746" t="s">
        <v>1901</v>
      </c>
      <c r="GU33" s="746" t="s">
        <v>1902</v>
      </c>
      <c r="GV33" s="746" t="s">
        <v>1903</v>
      </c>
      <c r="GW33" s="746" t="s">
        <v>1904</v>
      </c>
      <c r="GX33" s="746" t="s">
        <v>1905</v>
      </c>
      <c r="GY33" s="746" t="s">
        <v>1906</v>
      </c>
      <c r="GZ33" s="746" t="s">
        <v>1907</v>
      </c>
      <c r="HA33" s="746" t="s">
        <v>1908</v>
      </c>
      <c r="HB33" s="746" t="s">
        <v>1909</v>
      </c>
      <c r="HC33" s="746" t="s">
        <v>1910</v>
      </c>
      <c r="HD33" s="746" t="s">
        <v>1911</v>
      </c>
      <c r="HE33" s="746" t="s">
        <v>1912</v>
      </c>
      <c r="HF33" s="746" t="s">
        <v>1913</v>
      </c>
      <c r="HG33" s="746" t="s">
        <v>1914</v>
      </c>
      <c r="HH33" s="746" t="s">
        <v>1915</v>
      </c>
      <c r="HI33" s="746" t="s">
        <v>1916</v>
      </c>
      <c r="HJ33" s="746" t="s">
        <v>1917</v>
      </c>
      <c r="HK33" s="746" t="s">
        <v>1918</v>
      </c>
      <c r="HL33" s="746" t="s">
        <v>1919</v>
      </c>
      <c r="HM33" s="746" t="s">
        <v>1920</v>
      </c>
      <c r="HN33" s="746" t="s">
        <v>1921</v>
      </c>
      <c r="HO33" s="746" t="s">
        <v>1922</v>
      </c>
      <c r="HP33" s="746" t="s">
        <v>1923</v>
      </c>
      <c r="HQ33" s="746" t="s">
        <v>1924</v>
      </c>
      <c r="HR33" s="746" t="s">
        <v>1925</v>
      </c>
      <c r="HS33" s="746" t="s">
        <v>1926</v>
      </c>
      <c r="HT33" s="746" t="s">
        <v>1927</v>
      </c>
      <c r="HU33" s="746" t="s">
        <v>1928</v>
      </c>
      <c r="HV33" s="746" t="s">
        <v>1929</v>
      </c>
      <c r="HW33" s="746" t="s">
        <v>1930</v>
      </c>
      <c r="HX33" s="746" t="s">
        <v>1931</v>
      </c>
      <c r="HY33" s="746" t="s">
        <v>1932</v>
      </c>
      <c r="HZ33" s="746" t="s">
        <v>1933</v>
      </c>
      <c r="IA33" s="746" t="s">
        <v>1934</v>
      </c>
      <c r="IB33" s="746" t="s">
        <v>1935</v>
      </c>
      <c r="IC33" s="746" t="s">
        <v>1936</v>
      </c>
      <c r="ID33" s="746" t="s">
        <v>1937</v>
      </c>
      <c r="IE33" s="746" t="s">
        <v>1938</v>
      </c>
      <c r="IF33" s="746" t="s">
        <v>1939</v>
      </c>
      <c r="IG33" s="746" t="s">
        <v>1940</v>
      </c>
      <c r="IH33" s="746" t="s">
        <v>1941</v>
      </c>
      <c r="II33" s="746" t="s">
        <v>1942</v>
      </c>
      <c r="IJ33" s="746" t="s">
        <v>1943</v>
      </c>
      <c r="IK33" s="746" t="s">
        <v>1944</v>
      </c>
      <c r="IL33" s="746" t="s">
        <v>1945</v>
      </c>
      <c r="IM33" s="746" t="s">
        <v>1946</v>
      </c>
      <c r="IN33" s="746" t="s">
        <v>1947</v>
      </c>
      <c r="IO33" s="746" t="s">
        <v>1948</v>
      </c>
      <c r="IP33" s="746" t="s">
        <v>1949</v>
      </c>
      <c r="IQ33" s="746" t="s">
        <v>1950</v>
      </c>
      <c r="IR33" s="746" t="s">
        <v>1951</v>
      </c>
      <c r="IS33" s="746" t="s">
        <v>1952</v>
      </c>
      <c r="IT33" s="746" t="s">
        <v>1953</v>
      </c>
      <c r="IU33" s="746" t="s">
        <v>1954</v>
      </c>
      <c r="IV33" s="746" t="s">
        <v>1955</v>
      </c>
      <c r="IW33" s="746" t="s">
        <v>1956</v>
      </c>
      <c r="IX33" s="746" t="s">
        <v>1957</v>
      </c>
      <c r="IY33" s="746" t="s">
        <v>1958</v>
      </c>
      <c r="IZ33" s="746" t="s">
        <v>1959</v>
      </c>
      <c r="JA33" s="746" t="s">
        <v>1960</v>
      </c>
      <c r="JB33" s="746" t="s">
        <v>1961</v>
      </c>
      <c r="JC33" s="746" t="s">
        <v>1962</v>
      </c>
      <c r="JD33" s="746" t="s">
        <v>1963</v>
      </c>
      <c r="JE33" s="746" t="s">
        <v>1964</v>
      </c>
      <c r="JF33" s="746" t="s">
        <v>1965</v>
      </c>
      <c r="JG33" s="746" t="s">
        <v>1966</v>
      </c>
      <c r="JH33" s="746" t="s">
        <v>1967</v>
      </c>
      <c r="JI33" s="746" t="s">
        <v>1968</v>
      </c>
      <c r="JJ33" s="746" t="s">
        <v>1969</v>
      </c>
      <c r="JK33" s="746" t="s">
        <v>1970</v>
      </c>
      <c r="JL33" s="746" t="s">
        <v>1971</v>
      </c>
      <c r="JM33" s="746" t="s">
        <v>1972</v>
      </c>
      <c r="JN33" s="746" t="s">
        <v>1973</v>
      </c>
      <c r="JO33" s="746" t="s">
        <v>1974</v>
      </c>
      <c r="JP33" s="746" t="s">
        <v>1975</v>
      </c>
      <c r="JQ33" s="746" t="s">
        <v>1976</v>
      </c>
      <c r="JR33" s="746" t="s">
        <v>1977</v>
      </c>
      <c r="JS33" s="746" t="s">
        <v>1978</v>
      </c>
      <c r="JT33" s="746" t="s">
        <v>1979</v>
      </c>
      <c r="JU33" s="746" t="s">
        <v>1980</v>
      </c>
      <c r="JV33" s="746" t="s">
        <v>1981</v>
      </c>
      <c r="JW33" s="746" t="s">
        <v>1982</v>
      </c>
      <c r="JX33" s="746" t="s">
        <v>1983</v>
      </c>
      <c r="JY33" s="746" t="s">
        <v>1984</v>
      </c>
      <c r="JZ33" s="746" t="s">
        <v>1985</v>
      </c>
      <c r="KA33" s="746" t="s">
        <v>1986</v>
      </c>
      <c r="KB33" s="746" t="s">
        <v>1987</v>
      </c>
      <c r="KC33" s="746" t="s">
        <v>1988</v>
      </c>
      <c r="KD33" s="746" t="s">
        <v>1989</v>
      </c>
      <c r="KE33" s="746" t="s">
        <v>1990</v>
      </c>
      <c r="KF33" s="746" t="s">
        <v>1991</v>
      </c>
      <c r="KG33" s="746" t="s">
        <v>1992</v>
      </c>
      <c r="KH33" s="746" t="s">
        <v>1993</v>
      </c>
      <c r="KI33" s="746" t="s">
        <v>1994</v>
      </c>
      <c r="KJ33" s="746" t="s">
        <v>1995</v>
      </c>
      <c r="KK33" s="746" t="s">
        <v>1996</v>
      </c>
      <c r="KL33" s="746" t="s">
        <v>1997</v>
      </c>
      <c r="KM33" s="746" t="s">
        <v>1998</v>
      </c>
      <c r="KN33" s="746" t="s">
        <v>1999</v>
      </c>
      <c r="KO33" s="746" t="s">
        <v>2000</v>
      </c>
      <c r="KP33" s="746" t="s">
        <v>2001</v>
      </c>
      <c r="KQ33" s="749" t="s">
        <v>1679</v>
      </c>
    </row>
    <row r="34" spans="1:305" ht="29.1" customHeight="1" x14ac:dyDescent="0.25">
      <c r="A34" s="100"/>
      <c r="B34" s="735" t="s">
        <v>1270</v>
      </c>
      <c r="C34" s="750">
        <v>8448.2352519593005</v>
      </c>
      <c r="D34" s="750"/>
      <c r="E34" s="747">
        <v>1551.7647480410001</v>
      </c>
      <c r="F34"/>
      <c r="G34"/>
      <c r="H34"/>
      <c r="I34"/>
      <c r="J34"/>
      <c r="K34"/>
      <c r="L34"/>
      <c r="M34"/>
      <c r="N34"/>
      <c r="O34"/>
      <c r="P34"/>
      <c r="Q34"/>
      <c r="R34"/>
      <c r="S34"/>
      <c r="T34"/>
      <c r="U34"/>
      <c r="V34"/>
      <c r="W34"/>
      <c r="X34"/>
      <c r="Y34"/>
      <c r="Z34"/>
      <c r="AA34" s="751"/>
      <c r="AB34" s="751"/>
      <c r="AC34" s="751"/>
      <c r="AD34" s="751"/>
      <c r="AE34" s="751"/>
      <c r="AF34" s="751"/>
      <c r="AG34" s="750"/>
      <c r="AH34" s="751"/>
      <c r="AI34" s="751"/>
      <c r="AJ34" s="751"/>
      <c r="AK34" s="751"/>
      <c r="AL34" s="751"/>
      <c r="AM34" s="751"/>
      <c r="AN34" s="751"/>
      <c r="AO34" s="751"/>
      <c r="AP34" s="751"/>
      <c r="AQ34" s="751"/>
      <c r="AR34" s="751"/>
      <c r="AS34" s="751"/>
      <c r="AT34" s="751"/>
      <c r="AU34" s="751"/>
      <c r="AV34" s="751"/>
      <c r="AW34" s="751"/>
      <c r="AX34" s="751"/>
      <c r="AY34" s="751"/>
      <c r="AZ34" s="751">
        <v>10608.5621537718</v>
      </c>
      <c r="BA34" s="751"/>
      <c r="BB34" s="751"/>
      <c r="BC34" s="751"/>
      <c r="BD34" s="751"/>
      <c r="BE34" s="751"/>
      <c r="BF34" s="751"/>
      <c r="BG34" s="751"/>
      <c r="BH34" s="751"/>
      <c r="BI34" s="751"/>
      <c r="BJ34" s="751"/>
      <c r="BK34" s="751"/>
      <c r="BL34" s="751"/>
      <c r="BM34" s="751"/>
      <c r="BN34" s="751"/>
      <c r="BO34" s="751"/>
      <c r="BP34" s="751"/>
      <c r="BQ34" s="751"/>
      <c r="BR34" s="751"/>
      <c r="BS34" s="751"/>
      <c r="BT34" s="751"/>
      <c r="BU34" s="751"/>
      <c r="BV34" s="751"/>
      <c r="BW34" s="751"/>
      <c r="BX34" s="751"/>
      <c r="BY34" s="751"/>
      <c r="BZ34" s="751"/>
      <c r="CA34" s="751"/>
      <c r="CB34" s="751"/>
      <c r="CC34" s="751"/>
      <c r="CD34" s="751"/>
      <c r="CE34" s="751"/>
      <c r="CF34" s="751"/>
      <c r="CG34" s="751"/>
      <c r="CH34" s="751"/>
      <c r="CI34" s="751"/>
      <c r="CJ34" s="751"/>
      <c r="CK34" s="751"/>
      <c r="CL34" s="751"/>
      <c r="CM34" s="751"/>
      <c r="CN34" s="751"/>
      <c r="CO34" s="751"/>
      <c r="CP34" s="751"/>
      <c r="CQ34" s="751"/>
      <c r="CR34" s="751"/>
      <c r="CS34" s="751"/>
      <c r="CT34" s="751"/>
      <c r="CU34" s="751"/>
      <c r="CV34" s="751"/>
      <c r="CW34" s="751"/>
      <c r="CX34" s="751">
        <v>656</v>
      </c>
      <c r="CY34" s="751"/>
      <c r="CZ34" s="751"/>
      <c r="DA34" s="751"/>
      <c r="DB34" s="751"/>
      <c r="DC34" s="751"/>
      <c r="DD34" s="751"/>
      <c r="DE34" s="751"/>
      <c r="DF34" s="751"/>
      <c r="DG34" s="751"/>
      <c r="DH34" s="751"/>
      <c r="DI34" s="751"/>
      <c r="DJ34" s="751"/>
      <c r="DK34" s="751"/>
      <c r="DL34" s="751"/>
      <c r="DM34" s="751"/>
      <c r="DN34" s="751"/>
      <c r="DO34" s="751"/>
      <c r="DP34" s="751"/>
      <c r="DQ34" s="751"/>
      <c r="DR34" s="751"/>
      <c r="DS34" s="751"/>
      <c r="DT34" s="751"/>
      <c r="DU34" s="751"/>
      <c r="DV34" s="751"/>
      <c r="DW34" s="751"/>
      <c r="DX34" s="751"/>
      <c r="DY34" s="751"/>
      <c r="DZ34" s="751"/>
      <c r="EA34" s="751"/>
      <c r="EB34" s="751"/>
      <c r="EC34" s="751"/>
      <c r="ED34" s="751"/>
      <c r="EE34" s="751"/>
      <c r="EF34" s="751"/>
      <c r="EG34" s="751"/>
      <c r="EH34" s="751"/>
      <c r="EI34" s="751"/>
      <c r="EJ34" s="751"/>
      <c r="EK34" s="751"/>
      <c r="EL34" s="751"/>
      <c r="EM34" s="751"/>
      <c r="EN34" s="751"/>
      <c r="EO34" s="751"/>
      <c r="EP34" s="751"/>
      <c r="EQ34" s="751"/>
      <c r="ER34" s="751"/>
      <c r="ES34" s="751"/>
      <c r="ET34" s="751"/>
      <c r="EU34" s="751"/>
      <c r="EV34" s="751">
        <v>656</v>
      </c>
      <c r="EW34" s="751"/>
      <c r="EX34" s="751"/>
      <c r="EY34" s="751"/>
      <c r="EZ34" s="751"/>
      <c r="FA34" s="751"/>
      <c r="FB34" s="751"/>
      <c r="FC34" s="751"/>
      <c r="FD34" s="751"/>
      <c r="FE34" s="751"/>
      <c r="FF34" s="751"/>
      <c r="FG34" s="751"/>
      <c r="FH34" s="751"/>
      <c r="FI34" s="751"/>
      <c r="FJ34" s="751"/>
      <c r="FK34" s="751"/>
      <c r="FL34" s="751"/>
      <c r="FM34" s="751"/>
      <c r="FN34" s="751"/>
      <c r="FO34" s="751"/>
      <c r="FP34" s="751"/>
      <c r="FQ34" s="751"/>
      <c r="FR34" s="751"/>
      <c r="FS34" s="751"/>
      <c r="FT34" s="751"/>
      <c r="FU34" s="751"/>
      <c r="FV34" s="751"/>
      <c r="FW34" s="751"/>
      <c r="FX34" s="751"/>
      <c r="FY34" s="751"/>
      <c r="FZ34" s="751"/>
      <c r="GA34" s="751"/>
      <c r="GB34" s="751"/>
      <c r="GC34" s="751"/>
      <c r="GD34" s="751"/>
      <c r="GE34" s="751"/>
      <c r="GF34" s="751"/>
      <c r="GG34" s="751"/>
      <c r="GH34" s="751"/>
      <c r="GI34" s="751"/>
      <c r="GJ34" s="751"/>
      <c r="GK34" s="751"/>
      <c r="GL34" s="751"/>
      <c r="GM34" s="751"/>
      <c r="GN34" s="751"/>
      <c r="GO34" s="751"/>
      <c r="GP34" s="751"/>
      <c r="GQ34" s="751"/>
      <c r="GR34" s="751"/>
      <c r="GS34" s="751"/>
      <c r="GT34" s="751">
        <v>656</v>
      </c>
      <c r="GU34" s="751"/>
      <c r="GV34" s="751"/>
      <c r="GW34" s="751"/>
      <c r="GX34" s="751"/>
      <c r="GY34" s="751"/>
      <c r="GZ34" s="751"/>
      <c r="HA34" s="751"/>
      <c r="HB34" s="751"/>
      <c r="HC34" s="751"/>
      <c r="HD34" s="751"/>
      <c r="HE34" s="751"/>
      <c r="HF34" s="751"/>
      <c r="HG34" s="751"/>
      <c r="HH34" s="751"/>
      <c r="HI34" s="751"/>
      <c r="HJ34" s="751"/>
      <c r="HK34" s="751"/>
      <c r="HL34" s="751"/>
      <c r="HM34" s="751"/>
      <c r="HN34" s="751"/>
      <c r="HO34" s="751"/>
      <c r="HP34" s="751"/>
      <c r="HQ34" s="751"/>
      <c r="HR34" s="751"/>
      <c r="HS34" s="751"/>
      <c r="HT34" s="751"/>
      <c r="HU34" s="751"/>
      <c r="HV34" s="751"/>
      <c r="HW34" s="751"/>
      <c r="HX34" s="751"/>
      <c r="HY34" s="751"/>
      <c r="HZ34" s="751"/>
      <c r="IA34" s="751"/>
      <c r="IB34" s="751"/>
      <c r="IC34" s="751"/>
      <c r="ID34" s="751"/>
      <c r="IE34" s="751"/>
      <c r="IF34" s="751"/>
      <c r="IG34" s="751"/>
      <c r="IH34" s="751"/>
      <c r="II34" s="751"/>
      <c r="IJ34" s="751"/>
      <c r="IK34" s="751"/>
      <c r="IL34" s="751"/>
      <c r="IM34" s="751"/>
      <c r="IN34" s="751"/>
      <c r="IO34" s="751"/>
      <c r="IP34" s="751"/>
      <c r="IQ34" s="751"/>
      <c r="IR34" s="751">
        <v>656</v>
      </c>
      <c r="IS34" s="751"/>
      <c r="IT34" s="751"/>
      <c r="IU34" s="751"/>
      <c r="IV34" s="751"/>
      <c r="IW34" s="751"/>
      <c r="IX34" s="751"/>
      <c r="IY34" s="751"/>
      <c r="IZ34" s="751"/>
      <c r="JA34" s="751"/>
      <c r="JB34" s="751"/>
      <c r="JC34" s="751"/>
      <c r="JD34" s="751"/>
      <c r="JE34" s="751"/>
      <c r="JF34" s="751"/>
      <c r="JG34" s="751"/>
      <c r="JH34" s="751"/>
      <c r="JI34" s="751"/>
      <c r="JJ34" s="751"/>
      <c r="JK34" s="751"/>
      <c r="JL34" s="751"/>
      <c r="JM34" s="751"/>
      <c r="JN34" s="751"/>
      <c r="JO34" s="751"/>
      <c r="JP34" s="751"/>
      <c r="JQ34" s="751"/>
      <c r="JR34" s="751"/>
      <c r="JS34" s="751"/>
      <c r="JT34" s="751"/>
      <c r="JU34" s="751"/>
      <c r="JV34" s="751"/>
      <c r="JW34" s="751"/>
      <c r="JX34" s="751"/>
      <c r="JY34" s="751"/>
      <c r="JZ34" s="751"/>
      <c r="KA34" s="751"/>
      <c r="KB34" s="751"/>
      <c r="KC34" s="751"/>
      <c r="KD34" s="751"/>
      <c r="KE34" s="751"/>
      <c r="KF34" s="751"/>
      <c r="KG34" s="751"/>
      <c r="KH34" s="751"/>
      <c r="KI34" s="751"/>
      <c r="KJ34" s="751"/>
      <c r="KK34" s="751"/>
      <c r="KL34" s="751"/>
      <c r="KM34" s="751"/>
      <c r="KN34" s="751"/>
      <c r="KO34" s="751"/>
      <c r="KP34" s="751">
        <v>656</v>
      </c>
      <c r="KQ34" s="748">
        <v>-3888.5621537719999</v>
      </c>
    </row>
    <row r="35" spans="1:305" ht="29.1" customHeight="1" x14ac:dyDescent="0.25">
      <c r="A35" s="100"/>
      <c r="B35" s="746" t="s">
        <v>1272</v>
      </c>
      <c r="C35" s="751">
        <v>328</v>
      </c>
      <c r="D35" s="751">
        <v>8120.2352519592996</v>
      </c>
      <c r="E35" s="747">
        <v>1551.7647480410001</v>
      </c>
      <c r="F35"/>
      <c r="G35"/>
      <c r="H35"/>
      <c r="I35"/>
      <c r="J35"/>
      <c r="K35"/>
      <c r="L35"/>
      <c r="M35"/>
      <c r="N35"/>
      <c r="O35"/>
      <c r="P35"/>
      <c r="Q35"/>
      <c r="R35"/>
      <c r="S35"/>
      <c r="T35"/>
      <c r="U35"/>
      <c r="V35"/>
      <c r="W35"/>
      <c r="X35"/>
      <c r="Y35"/>
      <c r="Z35"/>
      <c r="AA35" s="751"/>
      <c r="AB35" s="751"/>
      <c r="AC35" s="751"/>
      <c r="AD35" s="751"/>
      <c r="AE35" s="751"/>
      <c r="AF35" s="751"/>
      <c r="AG35" s="750"/>
      <c r="AH35" s="751"/>
      <c r="AI35" s="751"/>
      <c r="AJ35" s="751"/>
      <c r="AK35" s="751"/>
      <c r="AL35" s="751"/>
      <c r="AM35" s="751"/>
      <c r="AN35" s="751"/>
      <c r="AO35" s="751"/>
      <c r="AP35" s="751"/>
      <c r="AQ35" s="751"/>
      <c r="AR35" s="751"/>
      <c r="AS35" s="751"/>
      <c r="AT35" s="751"/>
      <c r="AU35" s="751"/>
      <c r="AV35" s="751"/>
      <c r="AW35" s="751"/>
      <c r="AX35" s="751"/>
      <c r="AY35" s="751"/>
      <c r="AZ35" s="751">
        <v>9952.5621537717998</v>
      </c>
      <c r="BA35" s="751"/>
      <c r="BB35" s="751"/>
      <c r="BC35" s="751"/>
      <c r="BD35" s="751"/>
      <c r="BE35" s="751"/>
      <c r="BF35" s="751"/>
      <c r="BG35" s="751"/>
      <c r="BH35" s="751"/>
      <c r="BI35" s="751"/>
      <c r="BJ35" s="751"/>
      <c r="BK35" s="751"/>
      <c r="BL35" s="751"/>
      <c r="BM35" s="751"/>
      <c r="BN35" s="751"/>
      <c r="BO35" s="751"/>
      <c r="BP35" s="751"/>
      <c r="BQ35" s="751"/>
      <c r="BR35" s="751"/>
      <c r="BS35" s="751"/>
      <c r="BT35" s="751"/>
      <c r="BU35" s="751"/>
      <c r="BV35" s="751"/>
      <c r="BW35" s="751"/>
      <c r="BX35" s="751"/>
      <c r="BY35" s="751"/>
      <c r="BZ35" s="751"/>
      <c r="CA35" s="751"/>
      <c r="CB35" s="751"/>
      <c r="CC35" s="751"/>
      <c r="CD35" s="751"/>
      <c r="CE35" s="751"/>
      <c r="CF35" s="751"/>
      <c r="CG35" s="751"/>
      <c r="CH35" s="751"/>
      <c r="CI35" s="751"/>
      <c r="CJ35" s="751"/>
      <c r="CK35" s="751"/>
      <c r="CL35" s="751"/>
      <c r="CM35" s="751"/>
      <c r="CN35" s="751"/>
      <c r="CO35" s="751"/>
      <c r="CP35" s="751"/>
      <c r="CQ35" s="751"/>
      <c r="CR35" s="751"/>
      <c r="CS35" s="751"/>
      <c r="CT35" s="751"/>
      <c r="CU35" s="751"/>
      <c r="CV35" s="751"/>
      <c r="CW35" s="751"/>
      <c r="CX35" s="751"/>
      <c r="CY35" s="751"/>
      <c r="CZ35" s="751"/>
      <c r="DA35" s="751"/>
      <c r="DB35" s="751"/>
      <c r="DC35" s="751"/>
      <c r="DD35" s="751"/>
      <c r="DE35" s="751"/>
      <c r="DF35" s="751"/>
      <c r="DG35" s="751"/>
      <c r="DH35" s="751"/>
      <c r="DI35" s="751"/>
      <c r="DJ35" s="751"/>
      <c r="DK35" s="751"/>
      <c r="DL35" s="751"/>
      <c r="DM35" s="751"/>
      <c r="DN35" s="751"/>
      <c r="DO35" s="751"/>
      <c r="DP35" s="751"/>
      <c r="DQ35" s="751"/>
      <c r="DR35" s="751"/>
      <c r="DS35" s="751"/>
      <c r="DT35" s="751"/>
      <c r="DU35" s="751"/>
      <c r="DV35" s="751"/>
      <c r="DW35" s="751"/>
      <c r="DX35" s="751"/>
      <c r="DY35" s="751"/>
      <c r="DZ35" s="751"/>
      <c r="EA35" s="751"/>
      <c r="EB35" s="751"/>
      <c r="EC35" s="751"/>
      <c r="ED35" s="751"/>
      <c r="EE35" s="751"/>
      <c r="EF35" s="751"/>
      <c r="EG35" s="751"/>
      <c r="EH35" s="751"/>
      <c r="EI35" s="751"/>
      <c r="EJ35" s="751"/>
      <c r="EK35" s="751"/>
      <c r="EL35" s="751"/>
      <c r="EM35" s="751"/>
      <c r="EN35" s="751"/>
      <c r="EO35" s="751"/>
      <c r="EP35" s="751"/>
      <c r="EQ35" s="751"/>
      <c r="ER35" s="751"/>
      <c r="ES35" s="751"/>
      <c r="ET35" s="751"/>
      <c r="EU35" s="751"/>
      <c r="EV35" s="751"/>
      <c r="EW35" s="751"/>
      <c r="EX35" s="751"/>
      <c r="EY35" s="751"/>
      <c r="EZ35" s="751"/>
      <c r="FA35" s="751"/>
      <c r="FB35" s="751"/>
      <c r="FC35" s="751"/>
      <c r="FD35" s="751"/>
      <c r="FE35" s="751"/>
      <c r="FF35" s="751"/>
      <c r="FG35" s="751"/>
      <c r="FH35" s="751"/>
      <c r="FI35" s="751"/>
      <c r="FJ35" s="751"/>
      <c r="FK35" s="751"/>
      <c r="FL35" s="751"/>
      <c r="FM35" s="751"/>
      <c r="FN35" s="751"/>
      <c r="FO35" s="751"/>
      <c r="FP35" s="751"/>
      <c r="FQ35" s="751"/>
      <c r="FR35" s="751"/>
      <c r="FS35" s="751"/>
      <c r="FT35" s="751"/>
      <c r="FU35" s="751"/>
      <c r="FV35" s="751"/>
      <c r="FW35" s="751"/>
      <c r="FX35" s="751"/>
      <c r="FY35" s="751"/>
      <c r="FZ35" s="751"/>
      <c r="GA35" s="751"/>
      <c r="GB35" s="751"/>
      <c r="GC35" s="751"/>
      <c r="GD35" s="751"/>
      <c r="GE35" s="751"/>
      <c r="GF35" s="751"/>
      <c r="GG35" s="751"/>
      <c r="GH35" s="751"/>
      <c r="GI35" s="751"/>
      <c r="GJ35" s="751"/>
      <c r="GK35" s="751"/>
      <c r="GL35" s="751"/>
      <c r="GM35" s="751"/>
      <c r="GN35" s="751"/>
      <c r="GO35" s="751"/>
      <c r="GP35" s="751"/>
      <c r="GQ35" s="751"/>
      <c r="GR35" s="751"/>
      <c r="GS35" s="751"/>
      <c r="GT35" s="751"/>
      <c r="GU35" s="751"/>
      <c r="GV35" s="751"/>
      <c r="GW35" s="751"/>
      <c r="GX35" s="751"/>
      <c r="GY35" s="751"/>
      <c r="GZ35" s="751"/>
      <c r="HA35" s="751"/>
      <c r="HB35" s="751"/>
      <c r="HC35" s="751"/>
      <c r="HD35" s="751"/>
      <c r="HE35" s="751"/>
      <c r="HF35" s="751"/>
      <c r="HG35" s="751"/>
      <c r="HH35" s="751"/>
      <c r="HI35" s="751"/>
      <c r="HJ35" s="751"/>
      <c r="HK35" s="751"/>
      <c r="HL35" s="751"/>
      <c r="HM35" s="751"/>
      <c r="HN35" s="751"/>
      <c r="HO35" s="751"/>
      <c r="HP35" s="751"/>
      <c r="HQ35" s="751"/>
      <c r="HR35" s="751"/>
      <c r="HS35" s="751"/>
      <c r="HT35" s="751"/>
      <c r="HU35" s="751"/>
      <c r="HV35" s="751"/>
      <c r="HW35" s="751"/>
      <c r="HX35" s="751"/>
      <c r="HY35" s="751"/>
      <c r="HZ35" s="751"/>
      <c r="IA35" s="751"/>
      <c r="IB35" s="751"/>
      <c r="IC35" s="751"/>
      <c r="ID35" s="751"/>
      <c r="IE35" s="751"/>
      <c r="IF35" s="751"/>
      <c r="IG35" s="751"/>
      <c r="IH35" s="751"/>
      <c r="II35" s="751"/>
      <c r="IJ35" s="751"/>
      <c r="IK35" s="751"/>
      <c r="IL35" s="751"/>
      <c r="IM35" s="751"/>
      <c r="IN35" s="751"/>
      <c r="IO35" s="751"/>
      <c r="IP35" s="751"/>
      <c r="IQ35" s="751"/>
      <c r="IR35" s="751"/>
      <c r="IS35" s="751"/>
      <c r="IT35" s="751"/>
      <c r="IU35" s="751"/>
      <c r="IV35" s="751"/>
      <c r="IW35" s="751"/>
      <c r="IX35" s="751"/>
      <c r="IY35" s="751"/>
      <c r="IZ35" s="751"/>
      <c r="JA35" s="751"/>
      <c r="JB35" s="751"/>
      <c r="JC35" s="751"/>
      <c r="JD35" s="751"/>
      <c r="JE35" s="751"/>
      <c r="JF35" s="751"/>
      <c r="JG35" s="751"/>
      <c r="JH35" s="751"/>
      <c r="JI35" s="751"/>
      <c r="JJ35" s="751"/>
      <c r="JK35" s="751"/>
      <c r="JL35" s="751"/>
      <c r="JM35" s="751"/>
      <c r="JN35" s="751"/>
      <c r="JO35" s="751"/>
      <c r="JP35" s="751"/>
      <c r="JQ35" s="751"/>
      <c r="JR35" s="751"/>
      <c r="JS35" s="751"/>
      <c r="JT35" s="751"/>
      <c r="JU35" s="751"/>
      <c r="JV35" s="751"/>
      <c r="JW35" s="751"/>
      <c r="JX35" s="751"/>
      <c r="JY35" s="751"/>
      <c r="JZ35" s="751"/>
      <c r="KA35" s="751"/>
      <c r="KB35" s="751"/>
      <c r="KC35" s="751"/>
      <c r="KD35" s="751"/>
      <c r="KE35" s="751"/>
      <c r="KF35" s="751"/>
      <c r="KG35" s="751"/>
      <c r="KH35" s="751"/>
      <c r="KI35" s="751"/>
      <c r="KJ35" s="751"/>
      <c r="KK35" s="751"/>
      <c r="KL35" s="751"/>
      <c r="KM35" s="751"/>
      <c r="KN35" s="751"/>
      <c r="KO35" s="751"/>
      <c r="KP35" s="751"/>
      <c r="KQ35" s="747">
        <v>47.437846227999998</v>
      </c>
    </row>
    <row r="36" spans="1:305" ht="29.1" customHeight="1" x14ac:dyDescent="0.25">
      <c r="A36" s="100"/>
      <c r="B36" s="749" t="s">
        <v>1679</v>
      </c>
      <c r="C36" s="747">
        <v>0</v>
      </c>
      <c r="D36" s="748">
        <v>656</v>
      </c>
      <c r="E36" s="752">
        <v>2730.6595527034001</v>
      </c>
      <c r="F36"/>
      <c r="G36"/>
      <c r="H36"/>
      <c r="I36"/>
      <c r="J36"/>
      <c r="K36"/>
      <c r="L36"/>
      <c r="M36"/>
      <c r="N36"/>
      <c r="O36"/>
      <c r="P36"/>
      <c r="Q36"/>
      <c r="R36"/>
      <c r="S36"/>
      <c r="T36"/>
      <c r="U36"/>
      <c r="V36"/>
      <c r="W36"/>
      <c r="X36"/>
      <c r="Y36"/>
      <c r="Z36"/>
      <c r="AA36" s="751"/>
      <c r="AB36" s="751"/>
      <c r="AC36" s="751"/>
      <c r="AD36" s="751"/>
      <c r="AE36" s="751"/>
      <c r="AF36" s="751"/>
      <c r="AG36" s="750"/>
      <c r="AH36" s="751"/>
      <c r="AI36" s="751"/>
      <c r="AJ36" s="751"/>
      <c r="AK36" s="751"/>
      <c r="AL36" s="751"/>
      <c r="AM36" s="751"/>
      <c r="AN36" s="751"/>
      <c r="AO36" s="751"/>
      <c r="AP36" s="751"/>
      <c r="AQ36" s="751"/>
      <c r="AR36" s="751"/>
      <c r="AS36" s="751"/>
      <c r="AT36" s="751"/>
      <c r="AU36" s="751"/>
      <c r="AV36" s="751"/>
      <c r="AW36" s="751"/>
      <c r="AX36" s="751"/>
      <c r="AY36" s="751"/>
      <c r="AZ36" s="751">
        <v>9952.5621537717998</v>
      </c>
      <c r="BA36" s="751"/>
      <c r="BB36" s="751"/>
      <c r="BC36" s="751"/>
      <c r="BD36" s="751"/>
      <c r="BE36" s="751"/>
      <c r="BF36" s="751"/>
      <c r="BG36" s="751"/>
      <c r="BH36" s="751"/>
      <c r="BI36" s="751"/>
      <c r="BJ36" s="751"/>
      <c r="BK36" s="751"/>
      <c r="BL36" s="751"/>
      <c r="BM36" s="751"/>
      <c r="BN36" s="751"/>
      <c r="BO36" s="751"/>
      <c r="BP36" s="751"/>
      <c r="BQ36" s="751"/>
      <c r="BR36" s="751"/>
      <c r="BS36" s="751"/>
      <c r="BT36" s="751"/>
      <c r="BU36" s="751"/>
      <c r="BV36" s="751"/>
      <c r="BW36" s="751"/>
      <c r="BX36" s="751"/>
      <c r="BY36" s="751"/>
      <c r="BZ36" s="751"/>
      <c r="CA36" s="751"/>
      <c r="CB36" s="751"/>
      <c r="CC36" s="751"/>
      <c r="CD36" s="751"/>
      <c r="CE36" s="751"/>
      <c r="CF36" s="751"/>
      <c r="CG36" s="751"/>
      <c r="CH36" s="751"/>
      <c r="CI36" s="751"/>
      <c r="CJ36" s="751"/>
      <c r="CK36" s="751"/>
      <c r="CL36" s="751"/>
      <c r="CM36" s="751"/>
      <c r="CN36" s="751"/>
      <c r="CO36" s="751"/>
      <c r="CP36" s="751"/>
      <c r="CQ36" s="751"/>
      <c r="CR36" s="751"/>
      <c r="CS36" s="751"/>
      <c r="CT36" s="751"/>
      <c r="CU36" s="751"/>
      <c r="CV36" s="751"/>
      <c r="CW36" s="751"/>
      <c r="CX36" s="751"/>
      <c r="CY36" s="751"/>
      <c r="CZ36" s="751"/>
      <c r="DA36" s="751"/>
      <c r="DB36" s="751"/>
      <c r="DC36" s="751"/>
      <c r="DD36" s="751"/>
      <c r="DE36" s="751"/>
      <c r="DF36" s="751"/>
      <c r="DG36" s="751"/>
      <c r="DH36" s="751"/>
      <c r="DI36" s="751"/>
      <c r="DJ36" s="751"/>
      <c r="DK36" s="751"/>
      <c r="DL36" s="751"/>
      <c r="DM36" s="751"/>
      <c r="DN36" s="751"/>
      <c r="DO36" s="751"/>
      <c r="DP36" s="751"/>
      <c r="DQ36" s="751"/>
      <c r="DR36" s="751"/>
      <c r="DS36" s="751"/>
      <c r="DT36" s="751"/>
      <c r="DU36" s="751"/>
      <c r="DV36" s="751"/>
      <c r="DW36" s="751"/>
      <c r="DX36" s="751"/>
      <c r="DY36" s="751"/>
      <c r="DZ36" s="751"/>
      <c r="EA36" s="751"/>
      <c r="EB36" s="751"/>
      <c r="EC36" s="751"/>
      <c r="ED36" s="751"/>
      <c r="EE36" s="751"/>
      <c r="EF36" s="751"/>
      <c r="EG36" s="751"/>
      <c r="EH36" s="751"/>
      <c r="EI36" s="751"/>
      <c r="EJ36" s="751"/>
      <c r="EK36" s="751"/>
      <c r="EL36" s="751"/>
      <c r="EM36" s="751"/>
      <c r="EN36" s="751"/>
      <c r="EO36" s="751"/>
      <c r="EP36" s="751"/>
      <c r="EQ36" s="751"/>
      <c r="ER36" s="751"/>
      <c r="ES36" s="751"/>
      <c r="ET36" s="751"/>
      <c r="EU36" s="751"/>
      <c r="EV36" s="751"/>
      <c r="EW36" s="751"/>
      <c r="EX36" s="751"/>
      <c r="EY36" s="751"/>
      <c r="EZ36" s="751"/>
      <c r="FA36" s="751"/>
      <c r="FB36" s="751"/>
      <c r="FC36" s="751"/>
      <c r="FD36" s="751"/>
      <c r="FE36" s="751"/>
      <c r="FF36" s="751"/>
      <c r="FG36" s="751"/>
      <c r="FH36" s="751"/>
      <c r="FI36" s="751"/>
      <c r="FJ36" s="751"/>
      <c r="FK36" s="751"/>
      <c r="FL36" s="751"/>
      <c r="FM36" s="751"/>
      <c r="FN36" s="751"/>
      <c r="FO36" s="751"/>
      <c r="FP36" s="751"/>
      <c r="FQ36" s="751"/>
      <c r="FR36" s="751"/>
      <c r="FS36" s="751"/>
      <c r="FT36" s="751"/>
      <c r="FU36" s="751"/>
      <c r="FV36" s="751"/>
      <c r="FW36" s="751"/>
      <c r="FX36" s="751"/>
      <c r="FY36" s="751"/>
      <c r="FZ36" s="751"/>
      <c r="GA36" s="751"/>
      <c r="GB36" s="751"/>
      <c r="GC36" s="751"/>
      <c r="GD36" s="751"/>
      <c r="GE36" s="751"/>
      <c r="GF36" s="751"/>
      <c r="GG36" s="751"/>
      <c r="GH36" s="751"/>
      <c r="GI36" s="751"/>
      <c r="GJ36" s="751"/>
      <c r="GK36" s="751"/>
      <c r="GL36" s="751"/>
      <c r="GM36" s="751"/>
      <c r="GN36" s="751"/>
      <c r="GO36" s="751"/>
      <c r="GP36" s="751"/>
      <c r="GQ36" s="751"/>
      <c r="GR36" s="751"/>
      <c r="GS36" s="751"/>
      <c r="GT36" s="751"/>
      <c r="GU36" s="751"/>
      <c r="GV36" s="751"/>
      <c r="GW36" s="751"/>
      <c r="GX36" s="751"/>
      <c r="GY36" s="751"/>
      <c r="GZ36" s="751"/>
      <c r="HA36" s="751"/>
      <c r="HB36" s="751"/>
      <c r="HC36" s="751"/>
      <c r="HD36" s="751"/>
      <c r="HE36" s="751"/>
      <c r="HF36" s="751"/>
      <c r="HG36" s="751"/>
      <c r="HH36" s="751"/>
      <c r="HI36" s="751"/>
      <c r="HJ36" s="751"/>
      <c r="HK36" s="751"/>
      <c r="HL36" s="751"/>
      <c r="HM36" s="751"/>
      <c r="HN36" s="751"/>
      <c r="HO36" s="751"/>
      <c r="HP36" s="751"/>
      <c r="HQ36" s="751"/>
      <c r="HR36" s="751"/>
      <c r="HS36" s="751"/>
      <c r="HT36" s="751"/>
      <c r="HU36" s="751"/>
      <c r="HV36" s="751"/>
      <c r="HW36" s="751"/>
      <c r="HX36" s="751"/>
      <c r="HY36" s="751"/>
      <c r="HZ36" s="751"/>
      <c r="IA36" s="751"/>
      <c r="IB36" s="751"/>
      <c r="IC36" s="751"/>
      <c r="ID36" s="751"/>
      <c r="IE36" s="751"/>
      <c r="IF36" s="751"/>
      <c r="IG36" s="751"/>
      <c r="IH36" s="751"/>
      <c r="II36" s="751"/>
      <c r="IJ36" s="751"/>
      <c r="IK36" s="751"/>
      <c r="IL36" s="751"/>
      <c r="IM36" s="751"/>
      <c r="IN36" s="751"/>
      <c r="IO36" s="751"/>
      <c r="IP36" s="751"/>
      <c r="IQ36" s="751"/>
      <c r="IR36" s="751"/>
      <c r="IS36" s="751"/>
      <c r="IT36" s="751"/>
      <c r="IU36" s="751"/>
      <c r="IV36" s="751"/>
      <c r="IW36" s="751"/>
      <c r="IX36" s="751"/>
      <c r="IY36" s="751"/>
      <c r="IZ36" s="751"/>
      <c r="JA36" s="751"/>
      <c r="JB36" s="751"/>
      <c r="JC36" s="751"/>
      <c r="JD36" s="751"/>
      <c r="JE36" s="751"/>
      <c r="JF36" s="751"/>
      <c r="JG36" s="751"/>
      <c r="JH36" s="751"/>
      <c r="JI36" s="751"/>
      <c r="JJ36" s="751"/>
      <c r="JK36" s="751"/>
      <c r="JL36" s="751"/>
      <c r="JM36" s="751"/>
      <c r="JN36" s="751"/>
      <c r="JO36" s="751"/>
      <c r="JP36" s="751"/>
      <c r="JQ36" s="751"/>
      <c r="JR36" s="751"/>
      <c r="JS36" s="751"/>
      <c r="JT36" s="751"/>
      <c r="JU36" s="751"/>
      <c r="JV36" s="751"/>
      <c r="JW36" s="751"/>
      <c r="JX36" s="751"/>
      <c r="JY36" s="751"/>
      <c r="JZ36" s="751"/>
      <c r="KA36" s="751"/>
      <c r="KB36" s="751"/>
      <c r="KC36" s="751"/>
      <c r="KD36" s="751"/>
      <c r="KE36" s="751"/>
      <c r="KF36" s="751"/>
      <c r="KG36" s="751"/>
      <c r="KH36" s="751"/>
      <c r="KI36" s="751"/>
      <c r="KJ36" s="751"/>
      <c r="KK36" s="751"/>
      <c r="KL36" s="751"/>
      <c r="KM36" s="751"/>
      <c r="KN36" s="751"/>
      <c r="KO36" s="751"/>
      <c r="KP36" s="751"/>
      <c r="KQ36" s="747">
        <v>47.437846227999998</v>
      </c>
    </row>
    <row r="37" spans="1:305" ht="29.1" customHeight="1" x14ac:dyDescent="0.25">
      <c r="A37" s="100"/>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c r="JA37"/>
      <c r="JB37"/>
      <c r="JC37"/>
      <c r="JD37"/>
      <c r="JE37"/>
      <c r="JF37"/>
      <c r="JG37"/>
      <c r="JH37"/>
      <c r="JI37"/>
      <c r="JJ37"/>
      <c r="JK37"/>
      <c r="JL37"/>
      <c r="JM37"/>
      <c r="JN37"/>
      <c r="JO37"/>
      <c r="JP37"/>
      <c r="JQ37"/>
      <c r="JR37"/>
      <c r="JS37"/>
      <c r="JT37"/>
      <c r="JU37"/>
      <c r="JV37"/>
      <c r="JW37"/>
      <c r="JX37"/>
      <c r="JY37"/>
      <c r="JZ37"/>
      <c r="KA37"/>
      <c r="KB37"/>
      <c r="KC37"/>
      <c r="KD37"/>
      <c r="KE37"/>
      <c r="KF37"/>
      <c r="KG37"/>
      <c r="KH37"/>
      <c r="KI37"/>
      <c r="KJ37"/>
      <c r="KK37"/>
      <c r="KL37"/>
      <c r="KM37"/>
      <c r="KN37"/>
      <c r="KO37"/>
      <c r="KP37"/>
      <c r="KQ37"/>
    </row>
    <row r="38" spans="1:305" ht="29.1" customHeight="1" x14ac:dyDescent="0.25">
      <c r="A38" s="100"/>
      <c r="B38"/>
      <c r="C38" s="746" t="s">
        <v>1219</v>
      </c>
      <c r="D38" s="746" t="s">
        <v>1231</v>
      </c>
      <c r="E38" s="749" t="s">
        <v>1680</v>
      </c>
      <c r="F38" s="749" t="s">
        <v>1681</v>
      </c>
      <c r="G38" s="749" t="s">
        <v>1682</v>
      </c>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row>
    <row r="39" spans="1:305" ht="29.1" customHeight="1" x14ac:dyDescent="0.25">
      <c r="A39" s="100"/>
      <c r="B39" s="746" t="s">
        <v>1270</v>
      </c>
      <c r="C39" s="751">
        <v>0.9626263437</v>
      </c>
      <c r="D39" s="751"/>
      <c r="E39" s="766">
        <v>0.9626263437</v>
      </c>
      <c r="F39" s="766">
        <v>1</v>
      </c>
      <c r="G39" s="766">
        <v>1.3880379957282258</v>
      </c>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row>
    <row r="40" spans="1:305" ht="29.1" customHeight="1" x14ac:dyDescent="0.25">
      <c r="A40" s="100"/>
      <c r="B40" s="746" t="s">
        <v>1272</v>
      </c>
      <c r="C40" s="751">
        <v>3.7373656300000002E-2</v>
      </c>
      <c r="D40" s="751">
        <v>1</v>
      </c>
      <c r="E40" s="766">
        <v>1.0373736563</v>
      </c>
      <c r="F40" s="766">
        <v>2</v>
      </c>
      <c r="G40" s="766">
        <v>2.2530299826645073</v>
      </c>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c r="JA40"/>
      <c r="JB40"/>
      <c r="JC40"/>
      <c r="JD40"/>
      <c r="JE40"/>
      <c r="JF40"/>
      <c r="JG40"/>
      <c r="JH40"/>
      <c r="JI40"/>
      <c r="JJ40"/>
      <c r="JK40"/>
      <c r="JL40"/>
      <c r="JM40"/>
      <c r="JN40"/>
      <c r="JO40"/>
      <c r="JP40"/>
      <c r="JQ40"/>
      <c r="JR40"/>
      <c r="JS40"/>
      <c r="JT40"/>
      <c r="JU40"/>
      <c r="JV40"/>
      <c r="JW40"/>
      <c r="JX40"/>
      <c r="JY40"/>
      <c r="JZ40"/>
      <c r="KA40"/>
      <c r="KB40"/>
      <c r="KC40"/>
      <c r="KD40"/>
      <c r="KE40"/>
      <c r="KF40"/>
      <c r="KG40"/>
      <c r="KH40"/>
      <c r="KI40"/>
      <c r="KJ40"/>
      <c r="KK40"/>
      <c r="KL40"/>
      <c r="KM40"/>
      <c r="KN40"/>
      <c r="KO40"/>
      <c r="KP40"/>
      <c r="KQ40"/>
    </row>
    <row r="41" spans="1:305" ht="29.1" customHeight="1" x14ac:dyDescent="0.25">
      <c r="A41" s="100"/>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c r="IW41"/>
      <c r="IX41"/>
      <c r="IY41"/>
      <c r="IZ41"/>
      <c r="JA41"/>
      <c r="JB41"/>
      <c r="JC41"/>
      <c r="JD41"/>
      <c r="JE41"/>
      <c r="JF41"/>
      <c r="JG41"/>
      <c r="JH41"/>
      <c r="JI41"/>
      <c r="JJ41"/>
      <c r="JK41"/>
      <c r="JL41"/>
      <c r="JM41"/>
      <c r="JN41"/>
      <c r="JO41"/>
      <c r="JP41"/>
      <c r="JQ41"/>
      <c r="JR41"/>
      <c r="JS41"/>
      <c r="JT41"/>
      <c r="JU41"/>
      <c r="JV41"/>
      <c r="JW41"/>
      <c r="JX41"/>
      <c r="JY41"/>
      <c r="JZ41"/>
      <c r="KA41"/>
      <c r="KB41"/>
      <c r="KC41"/>
      <c r="KD41"/>
      <c r="KE41"/>
      <c r="KF41"/>
      <c r="KG41"/>
      <c r="KH41"/>
      <c r="KI41"/>
      <c r="KJ41"/>
      <c r="KK41"/>
      <c r="KL41"/>
      <c r="KM41"/>
      <c r="KN41"/>
      <c r="KO41"/>
      <c r="KP41"/>
      <c r="KQ41"/>
    </row>
    <row r="42" spans="1:305" ht="29.1" customHeight="1" x14ac:dyDescent="0.25">
      <c r="A42" s="100"/>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c r="JA42"/>
      <c r="JB42"/>
      <c r="JC42"/>
      <c r="JD42"/>
      <c r="JE42"/>
      <c r="JF42"/>
      <c r="JG42"/>
      <c r="JH42"/>
      <c r="JI42"/>
      <c r="JJ42"/>
      <c r="JK42"/>
      <c r="JL42"/>
      <c r="JM42"/>
      <c r="JN42"/>
      <c r="JO42"/>
      <c r="JP42"/>
      <c r="JQ42"/>
      <c r="JR42"/>
      <c r="JS42"/>
      <c r="JT42"/>
      <c r="JU42"/>
      <c r="JV42"/>
      <c r="JW42"/>
      <c r="JX42"/>
      <c r="JY42"/>
      <c r="JZ42"/>
      <c r="KA42"/>
      <c r="KB42"/>
      <c r="KC42"/>
      <c r="KD42"/>
      <c r="KE42"/>
      <c r="KF42"/>
      <c r="KG42"/>
      <c r="KH42"/>
      <c r="KI42"/>
      <c r="KJ42"/>
      <c r="KK42"/>
      <c r="KL42"/>
      <c r="KM42"/>
      <c r="KN42"/>
      <c r="KO42"/>
      <c r="KP42"/>
      <c r="KQ42"/>
    </row>
    <row r="43" spans="1:305" ht="29.1" customHeight="1" x14ac:dyDescent="0.25">
      <c r="A43" s="100"/>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c r="IW43"/>
      <c r="IX43"/>
      <c r="IY43"/>
      <c r="IZ43"/>
      <c r="JA43"/>
      <c r="JB43"/>
      <c r="JC43"/>
      <c r="JD43"/>
      <c r="JE43"/>
      <c r="JF43"/>
      <c r="JG43"/>
      <c r="JH43"/>
      <c r="JI43"/>
      <c r="JJ43"/>
      <c r="JK43"/>
      <c r="JL43"/>
      <c r="JM43"/>
      <c r="JN43"/>
      <c r="JO43"/>
      <c r="JP43"/>
      <c r="JQ43"/>
      <c r="JR43"/>
      <c r="JS43"/>
      <c r="JT43"/>
      <c r="JU43"/>
      <c r="JV43"/>
      <c r="JW43"/>
      <c r="JX43"/>
      <c r="JY43"/>
      <c r="JZ43"/>
      <c r="KA43"/>
      <c r="KB43"/>
      <c r="KC43"/>
      <c r="KD43"/>
      <c r="KE43"/>
      <c r="KF43"/>
      <c r="KG43"/>
      <c r="KH43"/>
      <c r="KI43"/>
      <c r="KJ43"/>
      <c r="KK43"/>
      <c r="KL43"/>
      <c r="KM43"/>
      <c r="KN43"/>
      <c r="KO43"/>
      <c r="KP43"/>
      <c r="KQ43"/>
    </row>
    <row r="44" spans="1:305" ht="29.1" customHeight="1" x14ac:dyDescent="0.25">
      <c r="A44" s="100"/>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c r="IU44"/>
      <c r="IV44"/>
      <c r="IW44"/>
      <c r="IX44"/>
      <c r="IY44"/>
      <c r="IZ44"/>
      <c r="JA44"/>
      <c r="JB44"/>
      <c r="JC44"/>
      <c r="JD44"/>
      <c r="JE44"/>
      <c r="JF44"/>
      <c r="JG44"/>
      <c r="JH44"/>
      <c r="JI44"/>
      <c r="JJ44"/>
      <c r="JK44"/>
      <c r="JL44"/>
      <c r="JM44"/>
      <c r="JN44"/>
      <c r="JO44"/>
      <c r="JP44"/>
      <c r="JQ44"/>
      <c r="JR44"/>
      <c r="JS44"/>
      <c r="JT44"/>
      <c r="JU44"/>
      <c r="JV44"/>
      <c r="JW44"/>
      <c r="JX44"/>
      <c r="JY44"/>
      <c r="JZ44"/>
      <c r="KA44"/>
      <c r="KB44"/>
      <c r="KC44"/>
      <c r="KD44"/>
      <c r="KE44"/>
      <c r="KF44"/>
      <c r="KG44"/>
      <c r="KH44"/>
      <c r="KI44"/>
      <c r="KJ44"/>
      <c r="KK44"/>
      <c r="KL44"/>
      <c r="KM44"/>
      <c r="KN44"/>
      <c r="KO44"/>
      <c r="KP44"/>
      <c r="KQ44"/>
    </row>
    <row r="45" spans="1:305" ht="29.1" customHeight="1" x14ac:dyDescent="0.25">
      <c r="A45" s="100"/>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c r="IU45"/>
      <c r="IV45"/>
      <c r="IW45"/>
      <c r="IX45"/>
      <c r="IY45"/>
      <c r="IZ45"/>
      <c r="JA45"/>
      <c r="JB45"/>
      <c r="JC45"/>
      <c r="JD45"/>
      <c r="JE45"/>
      <c r="JF45"/>
      <c r="JG45"/>
      <c r="JH45"/>
      <c r="JI45"/>
      <c r="JJ45"/>
      <c r="JK45"/>
      <c r="JL45"/>
      <c r="JM45"/>
      <c r="JN45"/>
      <c r="JO45"/>
      <c r="JP45"/>
      <c r="JQ45"/>
      <c r="JR45"/>
      <c r="JS45"/>
      <c r="JT45"/>
      <c r="JU45"/>
      <c r="JV45"/>
      <c r="JW45"/>
      <c r="JX45"/>
      <c r="JY45"/>
      <c r="JZ45"/>
      <c r="KA45"/>
      <c r="KB45"/>
      <c r="KC45"/>
      <c r="KD45"/>
      <c r="KE45"/>
      <c r="KF45"/>
      <c r="KG45"/>
      <c r="KH45"/>
      <c r="KI45"/>
      <c r="KJ45"/>
      <c r="KK45"/>
      <c r="KL45"/>
      <c r="KM45"/>
      <c r="KN45"/>
      <c r="KO45"/>
      <c r="KP45"/>
      <c r="KQ45"/>
    </row>
    <row r="46" spans="1:305" ht="29.1" customHeight="1" x14ac:dyDescent="0.25">
      <c r="A46" s="100"/>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c r="IS46"/>
      <c r="IT46"/>
      <c r="IU46"/>
      <c r="IV46"/>
      <c r="IW46"/>
      <c r="IX46"/>
      <c r="IY46"/>
      <c r="IZ46"/>
      <c r="JA46"/>
      <c r="JB46"/>
      <c r="JC46"/>
      <c r="JD46"/>
      <c r="JE46"/>
      <c r="JF46"/>
      <c r="JG46"/>
      <c r="JH46"/>
      <c r="JI46"/>
      <c r="JJ46"/>
      <c r="JK46"/>
      <c r="JL46"/>
      <c r="JM46"/>
      <c r="JN46"/>
      <c r="JO46"/>
      <c r="JP46"/>
      <c r="JQ46"/>
      <c r="JR46"/>
      <c r="JS46"/>
      <c r="JT46"/>
      <c r="JU46"/>
      <c r="JV46"/>
      <c r="JW46"/>
      <c r="JX46"/>
      <c r="JY46"/>
      <c r="JZ46"/>
      <c r="KA46"/>
      <c r="KB46"/>
      <c r="KC46"/>
      <c r="KD46"/>
      <c r="KE46"/>
      <c r="KF46"/>
      <c r="KG46"/>
      <c r="KH46"/>
      <c r="KI46"/>
      <c r="KJ46"/>
      <c r="KK46"/>
      <c r="KL46"/>
      <c r="KM46"/>
      <c r="KN46"/>
      <c r="KO46"/>
      <c r="KP46"/>
      <c r="KQ46"/>
    </row>
    <row r="47" spans="1:305" ht="29.1" customHeight="1" x14ac:dyDescent="0.25">
      <c r="A47" s="100"/>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c r="HB47"/>
      <c r="HC47"/>
      <c r="HD47"/>
      <c r="HE47"/>
      <c r="HF47"/>
      <c r="HG47"/>
      <c r="HH47"/>
      <c r="HI47"/>
      <c r="HJ47"/>
      <c r="HK47"/>
      <c r="HL47"/>
      <c r="HM47"/>
      <c r="HN47"/>
      <c r="HO47"/>
      <c r="HP47"/>
      <c r="HQ47"/>
      <c r="HR47"/>
      <c r="HS47"/>
      <c r="HT47"/>
      <c r="HU47"/>
      <c r="HV47"/>
      <c r="HW47"/>
      <c r="HX47"/>
      <c r="HY47"/>
      <c r="HZ47"/>
      <c r="IA47"/>
      <c r="IB47"/>
      <c r="IC47"/>
      <c r="ID47"/>
      <c r="IE47"/>
      <c r="IF47"/>
      <c r="IG47"/>
      <c r="IH47"/>
      <c r="II47"/>
      <c r="IJ47"/>
      <c r="IK47"/>
      <c r="IL47"/>
      <c r="IM47"/>
      <c r="IN47"/>
      <c r="IO47"/>
      <c r="IP47"/>
      <c r="IQ47"/>
      <c r="IR47"/>
      <c r="IS47"/>
      <c r="IT47"/>
      <c r="IU47"/>
      <c r="IV47"/>
      <c r="IW47"/>
      <c r="IX47"/>
      <c r="IY47"/>
      <c r="IZ47"/>
      <c r="JA47"/>
      <c r="JB47"/>
      <c r="JC47"/>
      <c r="JD47"/>
      <c r="JE47"/>
      <c r="JF47"/>
      <c r="JG47"/>
      <c r="JH47"/>
      <c r="JI47"/>
      <c r="JJ47"/>
      <c r="JK47"/>
      <c r="JL47"/>
      <c r="JM47"/>
      <c r="JN47"/>
      <c r="JO47"/>
      <c r="JP47"/>
      <c r="JQ47"/>
      <c r="JR47"/>
      <c r="JS47"/>
      <c r="JT47"/>
      <c r="JU47"/>
      <c r="JV47"/>
      <c r="JW47"/>
      <c r="JX47"/>
      <c r="JY47"/>
      <c r="JZ47"/>
      <c r="KA47"/>
      <c r="KB47"/>
      <c r="KC47"/>
      <c r="KD47"/>
      <c r="KE47"/>
      <c r="KF47"/>
      <c r="KG47"/>
      <c r="KH47"/>
      <c r="KI47"/>
      <c r="KJ47"/>
      <c r="KK47"/>
      <c r="KL47"/>
      <c r="KM47"/>
      <c r="KN47"/>
      <c r="KO47"/>
      <c r="KP47"/>
      <c r="KQ47"/>
      <c r="KR47"/>
      <c r="KS47"/>
    </row>
    <row r="48" spans="1:305" ht="29.1" customHeight="1" x14ac:dyDescent="0.25">
      <c r="A48" s="100"/>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c r="HB48"/>
      <c r="HC48"/>
      <c r="HD48"/>
      <c r="HE48"/>
      <c r="HF48"/>
      <c r="HG48"/>
      <c r="HH48"/>
      <c r="HI48"/>
      <c r="HJ48"/>
      <c r="HK48"/>
      <c r="HL48"/>
      <c r="HM48"/>
      <c r="HN48"/>
      <c r="HO48"/>
      <c r="HP48"/>
      <c r="HQ48"/>
      <c r="HR48"/>
      <c r="HS48"/>
      <c r="HT48"/>
      <c r="HU48"/>
      <c r="HV48"/>
      <c r="HW48"/>
      <c r="HX48"/>
      <c r="HY48"/>
      <c r="HZ48"/>
      <c r="IA48"/>
      <c r="IB48"/>
      <c r="IC48"/>
      <c r="ID48"/>
      <c r="IE48"/>
      <c r="IF48"/>
      <c r="IG48"/>
      <c r="IH48"/>
      <c r="II48"/>
      <c r="IJ48"/>
      <c r="IK48"/>
      <c r="IL48"/>
      <c r="IM48"/>
      <c r="IN48"/>
      <c r="IO48"/>
      <c r="IP48"/>
      <c r="IQ48"/>
      <c r="IR48"/>
      <c r="IS48"/>
      <c r="IT48"/>
      <c r="IU48"/>
      <c r="IV48"/>
      <c r="IW48"/>
      <c r="IX48"/>
      <c r="IY48"/>
      <c r="IZ48"/>
      <c r="JA48"/>
      <c r="JB48"/>
      <c r="JC48"/>
      <c r="JD48"/>
      <c r="JE48"/>
      <c r="JF48"/>
      <c r="JG48"/>
      <c r="JH48"/>
      <c r="JI48"/>
      <c r="JJ48"/>
      <c r="JK48"/>
      <c r="JL48"/>
      <c r="JM48"/>
      <c r="JN48"/>
      <c r="JO48"/>
      <c r="JP48"/>
      <c r="JQ48"/>
      <c r="JR48"/>
      <c r="JS48"/>
      <c r="JT48"/>
      <c r="JU48"/>
      <c r="JV48"/>
      <c r="JW48"/>
      <c r="JX48"/>
      <c r="JY48"/>
      <c r="JZ48"/>
      <c r="KA48"/>
      <c r="KB48"/>
      <c r="KC48"/>
      <c r="KD48"/>
      <c r="KE48"/>
      <c r="KF48"/>
      <c r="KG48"/>
      <c r="KH48"/>
      <c r="KI48"/>
      <c r="KJ48"/>
      <c r="KK48"/>
      <c r="KL48"/>
      <c r="KM48"/>
      <c r="KN48"/>
      <c r="KO48"/>
      <c r="KP48"/>
      <c r="KQ48"/>
      <c r="KR48"/>
      <c r="KS48"/>
    </row>
    <row r="49" spans="1:305" ht="29.1" customHeight="1" x14ac:dyDescent="0.25">
      <c r="A49" s="100"/>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c r="HB49"/>
      <c r="HC49"/>
      <c r="HD49"/>
      <c r="HE49"/>
      <c r="HF49"/>
      <c r="HG49"/>
      <c r="HH49"/>
      <c r="HI49"/>
      <c r="HJ49"/>
      <c r="HK49"/>
      <c r="HL49"/>
      <c r="HM49"/>
      <c r="HN49"/>
      <c r="HO49"/>
      <c r="HP49"/>
      <c r="HQ49"/>
      <c r="HR49"/>
      <c r="HS49"/>
      <c r="HT49"/>
      <c r="HU49"/>
      <c r="HV49"/>
      <c r="HW49"/>
      <c r="HX49"/>
      <c r="HY49"/>
      <c r="HZ49"/>
      <c r="IA49"/>
      <c r="IB49"/>
      <c r="IC49"/>
      <c r="ID49"/>
      <c r="IE49"/>
      <c r="IF49"/>
      <c r="IG49"/>
      <c r="IH49"/>
      <c r="II49"/>
      <c r="IJ49"/>
      <c r="IK49"/>
      <c r="IL49"/>
      <c r="IM49"/>
      <c r="IN49"/>
      <c r="IO49"/>
      <c r="IP49"/>
      <c r="IQ49"/>
      <c r="IR49"/>
      <c r="IS49"/>
      <c r="IT49"/>
      <c r="IU49"/>
      <c r="IV49"/>
      <c r="IW49"/>
      <c r="IX49"/>
      <c r="IY49"/>
      <c r="IZ49"/>
      <c r="JA49"/>
      <c r="JB49"/>
      <c r="JC49"/>
      <c r="JD49"/>
      <c r="JE49"/>
      <c r="JF49"/>
      <c r="JG49"/>
      <c r="JH49"/>
      <c r="JI49"/>
      <c r="JJ49"/>
      <c r="JK49"/>
      <c r="JL49"/>
      <c r="JM49"/>
      <c r="JN49"/>
      <c r="JO49"/>
      <c r="JP49"/>
      <c r="JQ49"/>
      <c r="JR49"/>
      <c r="JS49"/>
      <c r="JT49"/>
      <c r="JU49"/>
      <c r="JV49"/>
      <c r="JW49"/>
      <c r="JX49"/>
      <c r="JY49"/>
      <c r="JZ49"/>
      <c r="KA49"/>
      <c r="KB49"/>
      <c r="KC49"/>
      <c r="KD49"/>
      <c r="KE49"/>
      <c r="KF49"/>
      <c r="KG49"/>
      <c r="KH49"/>
      <c r="KI49"/>
      <c r="KJ49"/>
      <c r="KK49"/>
      <c r="KL49"/>
      <c r="KM49"/>
      <c r="KN49"/>
      <c r="KO49"/>
      <c r="KP49"/>
      <c r="KQ49"/>
      <c r="KR49"/>
      <c r="KS49"/>
    </row>
    <row r="50" spans="1:305" ht="29.1" customHeight="1" x14ac:dyDescent="0.25">
      <c r="A50" s="10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c r="HB50"/>
      <c r="HC50"/>
      <c r="HD50"/>
      <c r="HE50"/>
      <c r="HF50"/>
      <c r="HG50"/>
      <c r="HH50"/>
      <c r="HI50"/>
      <c r="HJ50"/>
      <c r="HK50"/>
      <c r="HL50"/>
      <c r="HM50"/>
      <c r="HN50"/>
      <c r="HO50"/>
      <c r="HP50"/>
      <c r="HQ50"/>
      <c r="HR50"/>
      <c r="HS50"/>
      <c r="HT50"/>
      <c r="HU50"/>
      <c r="HV50"/>
      <c r="HW50"/>
      <c r="HX50"/>
      <c r="HY50"/>
      <c r="HZ50"/>
      <c r="IA50"/>
      <c r="IB50"/>
      <c r="IC50"/>
      <c r="ID50"/>
      <c r="IE50"/>
      <c r="IF50"/>
      <c r="IG50"/>
      <c r="IH50"/>
      <c r="II50"/>
      <c r="IJ50"/>
      <c r="IK50"/>
      <c r="IL50"/>
      <c r="IM50"/>
      <c r="IN50"/>
      <c r="IO50"/>
      <c r="IP50"/>
      <c r="IQ50"/>
      <c r="IR50"/>
      <c r="IS50"/>
      <c r="IT50"/>
      <c r="IU50"/>
      <c r="IV50"/>
      <c r="IW50"/>
      <c r="IX50"/>
      <c r="IY50"/>
      <c r="IZ50"/>
      <c r="JA50"/>
      <c r="JB50"/>
      <c r="JC50"/>
      <c r="JD50"/>
      <c r="JE50"/>
      <c r="JF50"/>
      <c r="JG50"/>
      <c r="JH50"/>
      <c r="JI50"/>
      <c r="JJ50"/>
      <c r="JK50"/>
      <c r="JL50"/>
      <c r="JM50"/>
      <c r="JN50"/>
      <c r="JO50"/>
      <c r="JP50"/>
      <c r="JQ50"/>
      <c r="JR50"/>
      <c r="JS50"/>
      <c r="JT50"/>
      <c r="JU50"/>
      <c r="JV50"/>
      <c r="JW50"/>
      <c r="JX50"/>
      <c r="JY50"/>
      <c r="JZ50"/>
      <c r="KA50"/>
      <c r="KB50"/>
      <c r="KC50"/>
      <c r="KD50"/>
      <c r="KE50"/>
      <c r="KF50"/>
      <c r="KG50"/>
      <c r="KH50"/>
      <c r="KI50"/>
      <c r="KJ50"/>
      <c r="KK50"/>
      <c r="KL50"/>
      <c r="KM50"/>
      <c r="KN50"/>
      <c r="KO50"/>
      <c r="KP50"/>
      <c r="KQ50"/>
      <c r="KR50"/>
      <c r="KS50"/>
    </row>
    <row r="51" spans="1:305" ht="29.1" customHeight="1" x14ac:dyDescent="0.25">
      <c r="A51" s="223" t="s">
        <v>1271</v>
      </c>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c r="HB51"/>
      <c r="HC51"/>
      <c r="HD51"/>
      <c r="HE51"/>
      <c r="HF51"/>
      <c r="HG51"/>
      <c r="HH51"/>
      <c r="HI51"/>
      <c r="HJ51"/>
      <c r="HK51"/>
      <c r="HL51"/>
      <c r="HM51"/>
      <c r="HN51"/>
      <c r="HO51"/>
      <c r="HP51"/>
      <c r="HQ51"/>
      <c r="HR51"/>
      <c r="HS51"/>
      <c r="HT51"/>
      <c r="HU51"/>
      <c r="HV51"/>
      <c r="HW51"/>
      <c r="HX51"/>
      <c r="HY51"/>
      <c r="HZ51"/>
      <c r="IA51"/>
      <c r="IB51"/>
      <c r="IC51"/>
      <c r="ID51"/>
      <c r="IE51"/>
      <c r="IF51"/>
      <c r="IG51"/>
      <c r="IH51"/>
      <c r="II51"/>
      <c r="IJ51"/>
      <c r="IK51"/>
      <c r="IL51"/>
      <c r="IM51"/>
      <c r="IN51"/>
      <c r="IO51"/>
      <c r="IP51"/>
      <c r="IQ51"/>
      <c r="IR51"/>
      <c r="IS51"/>
      <c r="IT51"/>
      <c r="IU51"/>
      <c r="IV51"/>
      <c r="IW51"/>
      <c r="IX51"/>
      <c r="IY51"/>
      <c r="IZ51"/>
      <c r="JA51"/>
      <c r="JB51"/>
      <c r="JC51"/>
      <c r="JD51"/>
      <c r="JE51"/>
      <c r="JF51"/>
      <c r="JG51"/>
      <c r="JH51"/>
      <c r="JI51"/>
      <c r="JJ51"/>
      <c r="JK51"/>
      <c r="JL51"/>
      <c r="JM51"/>
      <c r="JN51"/>
      <c r="JO51"/>
      <c r="JP51"/>
      <c r="JQ51"/>
      <c r="JR51"/>
      <c r="JS51"/>
      <c r="JT51"/>
      <c r="JU51"/>
      <c r="JV51"/>
      <c r="JW51"/>
      <c r="JX51"/>
      <c r="JY51"/>
      <c r="JZ51"/>
      <c r="KA51"/>
      <c r="KB51"/>
      <c r="KC51"/>
      <c r="KD51"/>
      <c r="KE51"/>
      <c r="KF51"/>
      <c r="KG51"/>
      <c r="KH51"/>
      <c r="KI51"/>
      <c r="KJ51"/>
      <c r="KK51"/>
      <c r="KL51"/>
      <c r="KM51"/>
      <c r="KN51"/>
      <c r="KO51"/>
      <c r="KP51"/>
      <c r="KQ51"/>
      <c r="KR51"/>
      <c r="KS51"/>
    </row>
    <row r="52" spans="1:305" ht="29.1" customHeight="1" x14ac:dyDescent="0.25">
      <c r="A52" s="100"/>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c r="HB52"/>
      <c r="HC52"/>
      <c r="HD52"/>
      <c r="HE52"/>
      <c r="HF52"/>
      <c r="HG52"/>
      <c r="HH52"/>
      <c r="HI52"/>
      <c r="HJ52"/>
      <c r="HK52"/>
      <c r="HL52"/>
      <c r="HM52"/>
      <c r="HN52"/>
      <c r="HO52"/>
      <c r="HP52"/>
      <c r="HQ52"/>
      <c r="HR52"/>
      <c r="HS52"/>
      <c r="HT52"/>
      <c r="HU52"/>
      <c r="HV52"/>
      <c r="HW52"/>
      <c r="HX52"/>
      <c r="HY52"/>
      <c r="HZ52"/>
      <c r="IA52"/>
      <c r="IB52"/>
      <c r="IC52"/>
      <c r="ID52"/>
      <c r="IE52"/>
      <c r="IF52"/>
      <c r="IG52"/>
      <c r="IH52"/>
      <c r="II52"/>
      <c r="IJ52"/>
      <c r="IK52"/>
      <c r="IL52"/>
      <c r="IM52"/>
      <c r="IN52"/>
      <c r="IO52"/>
      <c r="IP52"/>
      <c r="IQ52"/>
      <c r="IR52"/>
      <c r="IS52"/>
      <c r="IT52"/>
      <c r="IU52"/>
      <c r="IV52"/>
      <c r="IW52"/>
      <c r="IX52"/>
      <c r="IY52"/>
      <c r="IZ52"/>
      <c r="JA52"/>
      <c r="JB52"/>
      <c r="JC52"/>
      <c r="JD52"/>
      <c r="JE52"/>
      <c r="JF52"/>
      <c r="JG52"/>
      <c r="JH52"/>
      <c r="JI52"/>
      <c r="JJ52"/>
      <c r="JK52"/>
      <c r="JL52"/>
      <c r="JM52"/>
      <c r="JN52"/>
      <c r="JO52"/>
      <c r="JP52"/>
      <c r="JQ52"/>
      <c r="JR52"/>
      <c r="JS52"/>
      <c r="JT52"/>
      <c r="JU52"/>
      <c r="JV52"/>
      <c r="JW52"/>
      <c r="JX52"/>
      <c r="JY52"/>
      <c r="JZ52"/>
      <c r="KA52"/>
      <c r="KB52"/>
      <c r="KC52"/>
      <c r="KD52"/>
      <c r="KE52"/>
      <c r="KF52"/>
      <c r="KG52"/>
      <c r="KH52"/>
      <c r="KI52"/>
      <c r="KJ52"/>
      <c r="KK52"/>
      <c r="KL52"/>
      <c r="KM52"/>
      <c r="KN52"/>
      <c r="KO52"/>
      <c r="KP52"/>
      <c r="KQ52"/>
      <c r="KR52"/>
      <c r="KS52"/>
    </row>
    <row r="53" spans="1:305" ht="29.1" customHeight="1" x14ac:dyDescent="0.25">
      <c r="A53" s="100"/>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c r="HB53"/>
      <c r="HC53"/>
      <c r="HD53"/>
      <c r="HE53"/>
      <c r="HF53"/>
      <c r="HG53"/>
      <c r="HH53"/>
      <c r="HI53"/>
      <c r="HJ53"/>
      <c r="HK53"/>
      <c r="HL53"/>
      <c r="HM53"/>
      <c r="HN53"/>
      <c r="HO53"/>
      <c r="HP53"/>
      <c r="HQ53"/>
      <c r="HR53"/>
      <c r="HS53"/>
      <c r="HT53"/>
      <c r="HU53"/>
      <c r="HV53"/>
      <c r="HW53"/>
      <c r="HX53"/>
      <c r="HY53"/>
      <c r="HZ53"/>
      <c r="IA53"/>
      <c r="IB53"/>
      <c r="IC53"/>
      <c r="ID53"/>
      <c r="IE53"/>
      <c r="IF53"/>
      <c r="IG53"/>
      <c r="IH53"/>
      <c r="II53"/>
      <c r="IJ53"/>
      <c r="IK53"/>
      <c r="IL53"/>
      <c r="IM53"/>
      <c r="IN53"/>
      <c r="IO53"/>
      <c r="IP53"/>
      <c r="IQ53"/>
      <c r="IR53"/>
      <c r="IS53"/>
      <c r="IT53"/>
      <c r="IU53"/>
      <c r="IV53"/>
      <c r="IW53"/>
      <c r="IX53"/>
      <c r="IY53"/>
      <c r="IZ53"/>
      <c r="JA53"/>
      <c r="JB53"/>
      <c r="JC53"/>
      <c r="JD53"/>
      <c r="JE53"/>
      <c r="JF53"/>
      <c r="JG53"/>
      <c r="JH53"/>
      <c r="JI53"/>
      <c r="JJ53"/>
      <c r="JK53"/>
      <c r="JL53"/>
      <c r="JM53"/>
      <c r="JN53"/>
      <c r="JO53"/>
      <c r="JP53"/>
      <c r="JQ53"/>
      <c r="JR53"/>
      <c r="JS53"/>
      <c r="JT53"/>
      <c r="JU53"/>
      <c r="JV53"/>
      <c r="JW53"/>
      <c r="JX53"/>
      <c r="JY53"/>
      <c r="JZ53"/>
      <c r="KA53"/>
      <c r="KB53"/>
      <c r="KC53"/>
      <c r="KD53"/>
      <c r="KE53"/>
      <c r="KF53"/>
      <c r="KG53"/>
      <c r="KH53"/>
      <c r="KI53"/>
      <c r="KJ53"/>
      <c r="KK53"/>
      <c r="KL53"/>
      <c r="KM53"/>
      <c r="KN53"/>
      <c r="KO53"/>
      <c r="KP53"/>
      <c r="KQ53"/>
      <c r="KR53"/>
      <c r="KS53"/>
    </row>
    <row r="54" spans="1:305" ht="29.1" customHeight="1" x14ac:dyDescent="0.25">
      <c r="A54" s="100"/>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c r="HB54"/>
      <c r="HC54"/>
      <c r="HD54"/>
      <c r="HE54"/>
      <c r="HF54"/>
      <c r="HG54"/>
      <c r="HH54"/>
      <c r="HI54"/>
      <c r="HJ54"/>
      <c r="HK54"/>
      <c r="HL54"/>
      <c r="HM54"/>
      <c r="HN54"/>
      <c r="HO54"/>
      <c r="HP54"/>
      <c r="HQ54"/>
      <c r="HR54"/>
      <c r="HS54"/>
      <c r="HT54"/>
      <c r="HU54"/>
      <c r="HV54"/>
      <c r="HW54"/>
      <c r="HX54"/>
      <c r="HY54"/>
      <c r="HZ54"/>
      <c r="IA54"/>
      <c r="IB54"/>
      <c r="IC54"/>
      <c r="ID54"/>
      <c r="IE54"/>
      <c r="IF54"/>
      <c r="IG54"/>
      <c r="IH54"/>
      <c r="II54"/>
      <c r="IJ54"/>
      <c r="IK54"/>
      <c r="IL54"/>
      <c r="IM54"/>
      <c r="IN54"/>
      <c r="IO54"/>
      <c r="IP54"/>
      <c r="IQ54"/>
      <c r="IR54"/>
      <c r="IS54"/>
      <c r="IT54"/>
      <c r="IU54"/>
      <c r="IV54"/>
      <c r="IW54"/>
      <c r="IX54"/>
      <c r="IY54"/>
      <c r="IZ54"/>
      <c r="JA54"/>
      <c r="JB54"/>
      <c r="JC54"/>
      <c r="JD54"/>
      <c r="JE54"/>
      <c r="JF54"/>
      <c r="JG54"/>
      <c r="JH54"/>
      <c r="JI54"/>
      <c r="JJ54"/>
      <c r="JK54"/>
      <c r="JL54"/>
      <c r="JM54"/>
      <c r="JN54"/>
      <c r="JO54"/>
      <c r="JP54"/>
      <c r="JQ54"/>
      <c r="JR54"/>
      <c r="JS54"/>
      <c r="JT54"/>
      <c r="JU54"/>
      <c r="JV54"/>
      <c r="JW54"/>
      <c r="JX54"/>
      <c r="JY54"/>
      <c r="JZ54"/>
      <c r="KA54"/>
      <c r="KB54"/>
      <c r="KC54"/>
      <c r="KD54"/>
      <c r="KE54"/>
      <c r="KF54"/>
      <c r="KG54"/>
      <c r="KH54"/>
      <c r="KI54"/>
      <c r="KJ54"/>
      <c r="KK54"/>
      <c r="KL54"/>
      <c r="KM54"/>
      <c r="KN54"/>
      <c r="KO54"/>
      <c r="KP54"/>
      <c r="KQ54"/>
      <c r="KR54"/>
      <c r="KS54"/>
    </row>
    <row r="55" spans="1:305" ht="29.1" customHeight="1" x14ac:dyDescent="0.25">
      <c r="A55" s="100"/>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c r="HB55"/>
      <c r="HC55"/>
      <c r="HD55"/>
      <c r="HE55"/>
      <c r="HF55"/>
      <c r="HG55"/>
      <c r="HH55"/>
      <c r="HI55"/>
      <c r="HJ55"/>
      <c r="HK55"/>
      <c r="HL55"/>
      <c r="HM55"/>
      <c r="HN55"/>
      <c r="HO55"/>
      <c r="HP55"/>
      <c r="HQ55"/>
      <c r="HR55"/>
      <c r="HS55"/>
      <c r="HT55"/>
      <c r="HU55"/>
      <c r="HV55"/>
      <c r="HW55"/>
      <c r="HX55"/>
      <c r="HY55"/>
      <c r="HZ55"/>
      <c r="IA55"/>
      <c r="IB55"/>
      <c r="IC55"/>
      <c r="ID55"/>
      <c r="IE55"/>
      <c r="IF55"/>
      <c r="IG55"/>
      <c r="IH55"/>
      <c r="II55"/>
      <c r="IJ55"/>
      <c r="IK55"/>
      <c r="IL55"/>
      <c r="IM55"/>
      <c r="IN55"/>
      <c r="IO55"/>
      <c r="IP55"/>
      <c r="IQ55"/>
      <c r="IR55"/>
      <c r="IS55"/>
      <c r="IT55"/>
      <c r="IU55"/>
      <c r="IV55"/>
      <c r="IW55"/>
      <c r="IX55"/>
      <c r="IY55"/>
      <c r="IZ55"/>
      <c r="JA55"/>
      <c r="JB55"/>
      <c r="JC55"/>
      <c r="JD55"/>
      <c r="JE55"/>
      <c r="JF55"/>
      <c r="JG55"/>
      <c r="JH55"/>
      <c r="JI55"/>
      <c r="JJ55"/>
      <c r="JK55"/>
      <c r="JL55"/>
      <c r="JM55"/>
      <c r="JN55"/>
      <c r="JO55"/>
      <c r="JP55"/>
      <c r="JQ55"/>
      <c r="JR55"/>
      <c r="JS55"/>
      <c r="JT55"/>
      <c r="JU55"/>
      <c r="JV55"/>
      <c r="JW55"/>
      <c r="JX55"/>
      <c r="JY55"/>
      <c r="JZ55"/>
      <c r="KA55"/>
      <c r="KB55"/>
      <c r="KC55"/>
      <c r="KD55"/>
      <c r="KE55"/>
      <c r="KF55"/>
      <c r="KG55"/>
      <c r="KH55"/>
      <c r="KI55"/>
      <c r="KJ55"/>
      <c r="KK55"/>
      <c r="KL55"/>
      <c r="KM55"/>
      <c r="KN55"/>
      <c r="KO55"/>
      <c r="KP55"/>
      <c r="KQ55"/>
      <c r="KR55"/>
      <c r="KS55"/>
    </row>
    <row r="56" spans="1:305" ht="29.1" customHeight="1" x14ac:dyDescent="0.25">
      <c r="A56" s="100"/>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c r="HB56"/>
      <c r="HC56"/>
      <c r="HD56"/>
      <c r="HE56"/>
      <c r="HF56"/>
      <c r="HG56"/>
      <c r="HH56"/>
      <c r="HI56"/>
      <c r="HJ56"/>
      <c r="HK56"/>
      <c r="HL56"/>
      <c r="HM56"/>
      <c r="HN56"/>
      <c r="HO56"/>
      <c r="HP56"/>
      <c r="HQ56"/>
      <c r="HR56"/>
      <c r="HS56"/>
      <c r="HT56"/>
      <c r="HU56"/>
      <c r="HV56"/>
      <c r="HW56"/>
      <c r="HX56"/>
      <c r="HY56"/>
      <c r="HZ56"/>
      <c r="IA56"/>
      <c r="IB56"/>
      <c r="IC56"/>
      <c r="ID56"/>
      <c r="IE56"/>
      <c r="IF56"/>
      <c r="IG56"/>
      <c r="IH56"/>
      <c r="II56"/>
      <c r="IJ56"/>
      <c r="IK56"/>
      <c r="IL56"/>
      <c r="IM56"/>
      <c r="IN56"/>
      <c r="IO56"/>
      <c r="IP56"/>
      <c r="IQ56"/>
      <c r="IR56"/>
      <c r="IS56"/>
      <c r="IT56"/>
      <c r="IU56"/>
      <c r="IV56"/>
      <c r="IW56"/>
      <c r="IX56"/>
      <c r="IY56"/>
      <c r="IZ56"/>
      <c r="JA56"/>
      <c r="JB56"/>
      <c r="JC56"/>
      <c r="JD56"/>
      <c r="JE56"/>
      <c r="JF56"/>
      <c r="JG56"/>
      <c r="JH56"/>
      <c r="JI56"/>
      <c r="JJ56"/>
      <c r="JK56"/>
      <c r="JL56"/>
      <c r="JM56"/>
      <c r="JN56"/>
      <c r="JO56"/>
      <c r="JP56"/>
      <c r="JQ56"/>
      <c r="JR56"/>
      <c r="JS56"/>
      <c r="JT56"/>
      <c r="JU56"/>
      <c r="JV56"/>
      <c r="JW56"/>
      <c r="JX56"/>
      <c r="JY56"/>
      <c r="JZ56"/>
      <c r="KA56"/>
      <c r="KB56"/>
      <c r="KC56"/>
      <c r="KD56"/>
      <c r="KE56"/>
      <c r="KF56"/>
      <c r="KG56"/>
      <c r="KH56"/>
      <c r="KI56"/>
      <c r="KJ56"/>
      <c r="KK56"/>
      <c r="KL56"/>
      <c r="KM56"/>
      <c r="KN56"/>
      <c r="KO56"/>
      <c r="KP56"/>
      <c r="KQ56"/>
      <c r="KR56"/>
      <c r="KS56"/>
    </row>
    <row r="57" spans="1:305" ht="29.1" customHeight="1" x14ac:dyDescent="0.25">
      <c r="A57" s="100"/>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c r="IW57"/>
      <c r="IX57"/>
      <c r="IY57"/>
      <c r="IZ57"/>
      <c r="JA57"/>
      <c r="JB57"/>
      <c r="JC57"/>
      <c r="JD57"/>
      <c r="JE57"/>
      <c r="JF57"/>
      <c r="JG57"/>
      <c r="JH57"/>
      <c r="JI57"/>
      <c r="JJ57"/>
      <c r="JK57"/>
      <c r="JL57"/>
      <c r="JM57"/>
      <c r="JN57"/>
      <c r="JO57"/>
      <c r="JP57"/>
      <c r="JQ57"/>
      <c r="JR57"/>
      <c r="JS57"/>
      <c r="JT57"/>
      <c r="JU57"/>
      <c r="JV57"/>
      <c r="JW57"/>
      <c r="JX57"/>
      <c r="JY57"/>
      <c r="JZ57"/>
      <c r="KA57"/>
      <c r="KB57"/>
      <c r="KC57"/>
      <c r="KD57"/>
      <c r="KE57"/>
      <c r="KF57"/>
      <c r="KG57"/>
      <c r="KH57"/>
      <c r="KI57"/>
      <c r="KJ57"/>
      <c r="KK57"/>
      <c r="KL57"/>
      <c r="KM57"/>
      <c r="KN57"/>
      <c r="KO57"/>
      <c r="KP57"/>
      <c r="KQ57"/>
      <c r="KR57"/>
      <c r="KS57"/>
    </row>
    <row r="58" spans="1:305" ht="29.1" customHeight="1" x14ac:dyDescent="0.25">
      <c r="A58" s="100"/>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c r="HB58"/>
      <c r="HC58"/>
      <c r="HD58"/>
      <c r="HE58"/>
      <c r="HF58"/>
      <c r="HG58"/>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c r="IU58"/>
      <c r="IV58"/>
      <c r="IW58"/>
      <c r="IX58"/>
      <c r="IY58"/>
      <c r="IZ58"/>
      <c r="JA58"/>
      <c r="JB58"/>
      <c r="JC58"/>
      <c r="JD58"/>
      <c r="JE58"/>
      <c r="JF58"/>
      <c r="JG58"/>
      <c r="JH58"/>
      <c r="JI58"/>
      <c r="JJ58"/>
      <c r="JK58"/>
      <c r="JL58"/>
      <c r="JM58"/>
      <c r="JN58"/>
      <c r="JO58"/>
      <c r="JP58"/>
      <c r="JQ58"/>
      <c r="JR58"/>
      <c r="JS58"/>
      <c r="JT58"/>
      <c r="JU58"/>
      <c r="JV58"/>
      <c r="JW58"/>
      <c r="JX58"/>
      <c r="JY58"/>
      <c r="JZ58"/>
      <c r="KA58"/>
      <c r="KB58"/>
      <c r="KC58"/>
      <c r="KD58"/>
      <c r="KE58"/>
      <c r="KF58"/>
      <c r="KG58"/>
      <c r="KH58"/>
      <c r="KI58"/>
      <c r="KJ58"/>
      <c r="KK58"/>
      <c r="KL58"/>
      <c r="KM58"/>
      <c r="KN58"/>
      <c r="KO58"/>
      <c r="KP58"/>
      <c r="KQ58"/>
      <c r="KR58"/>
      <c r="KS58"/>
    </row>
    <row r="59" spans="1:305" ht="29.1" customHeight="1" x14ac:dyDescent="0.25">
      <c r="A59" s="100"/>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c r="HB59"/>
      <c r="HC59"/>
      <c r="HD59"/>
      <c r="HE59"/>
      <c r="HF59"/>
      <c r="HG59"/>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c r="IS59"/>
      <c r="IT59"/>
      <c r="IU59"/>
      <c r="IV59"/>
      <c r="IW59"/>
      <c r="IX59"/>
      <c r="IY59"/>
      <c r="IZ59"/>
      <c r="JA59"/>
      <c r="JB59"/>
      <c r="JC59"/>
      <c r="JD59"/>
      <c r="JE59"/>
      <c r="JF59"/>
      <c r="JG59"/>
      <c r="JH59"/>
      <c r="JI59"/>
      <c r="JJ59"/>
      <c r="JK59"/>
      <c r="JL59"/>
      <c r="JM59"/>
      <c r="JN59"/>
      <c r="JO59"/>
      <c r="JP59"/>
      <c r="JQ59"/>
      <c r="JR59"/>
      <c r="JS59"/>
      <c r="JT59"/>
      <c r="JU59"/>
      <c r="JV59"/>
      <c r="JW59"/>
      <c r="JX59"/>
      <c r="JY59"/>
      <c r="JZ59"/>
      <c r="KA59"/>
      <c r="KB59"/>
      <c r="KC59"/>
      <c r="KD59"/>
      <c r="KE59"/>
      <c r="KF59"/>
      <c r="KG59"/>
      <c r="KH59"/>
      <c r="KI59"/>
      <c r="KJ59"/>
      <c r="KK59"/>
      <c r="KL59"/>
      <c r="KM59"/>
      <c r="KN59"/>
      <c r="KO59"/>
      <c r="KP59"/>
      <c r="KQ59"/>
      <c r="KR59"/>
      <c r="KS59"/>
    </row>
    <row r="60" spans="1:305" ht="29.1" customHeight="1" x14ac:dyDescent="0.25">
      <c r="A60" s="10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c r="HB60"/>
      <c r="HC60"/>
      <c r="HD60"/>
      <c r="HE60"/>
      <c r="HF60"/>
      <c r="HG60"/>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c r="IS60"/>
      <c r="IT60"/>
      <c r="IU60"/>
      <c r="IV60"/>
      <c r="IW60"/>
      <c r="IX60"/>
      <c r="IY60"/>
      <c r="IZ60"/>
      <c r="JA60"/>
      <c r="JB60"/>
      <c r="JC60"/>
      <c r="JD60"/>
      <c r="JE60"/>
      <c r="JF60"/>
      <c r="JG60"/>
      <c r="JH60"/>
      <c r="JI60"/>
      <c r="JJ60"/>
      <c r="JK60"/>
      <c r="JL60"/>
      <c r="JM60"/>
      <c r="JN60"/>
      <c r="JO60"/>
      <c r="JP60"/>
      <c r="JQ60"/>
      <c r="JR60"/>
      <c r="JS60"/>
      <c r="JT60"/>
      <c r="JU60"/>
      <c r="JV60"/>
      <c r="JW60"/>
      <c r="JX60"/>
      <c r="JY60"/>
      <c r="JZ60"/>
      <c r="KA60"/>
      <c r="KB60"/>
      <c r="KC60"/>
      <c r="KD60"/>
      <c r="KE60"/>
      <c r="KF60"/>
      <c r="KG60"/>
      <c r="KH60"/>
      <c r="KI60"/>
      <c r="KJ60"/>
      <c r="KK60"/>
      <c r="KL60"/>
      <c r="KM60"/>
      <c r="KN60"/>
      <c r="KO60"/>
      <c r="KP60"/>
      <c r="KQ60"/>
      <c r="KR60"/>
      <c r="KS60"/>
    </row>
    <row r="61" spans="1:305" ht="29.1" customHeight="1" x14ac:dyDescent="0.25">
      <c r="A61" s="100"/>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c r="HB61"/>
      <c r="HC61"/>
      <c r="HD61"/>
      <c r="HE61"/>
      <c r="HF61"/>
      <c r="HG61"/>
      <c r="HH61"/>
      <c r="HI61"/>
      <c r="HJ61"/>
      <c r="HK61"/>
      <c r="HL61"/>
      <c r="HM61"/>
      <c r="HN61"/>
      <c r="HO61"/>
      <c r="HP61"/>
      <c r="HQ61"/>
      <c r="HR61"/>
      <c r="HS61"/>
      <c r="HT61"/>
      <c r="HU61"/>
      <c r="HV61"/>
      <c r="HW61"/>
      <c r="HX61"/>
      <c r="HY61"/>
      <c r="HZ61"/>
      <c r="IA61"/>
      <c r="IB61"/>
      <c r="IC61"/>
      <c r="ID61"/>
      <c r="IE61"/>
      <c r="IF61"/>
      <c r="IG61"/>
      <c r="IH61"/>
      <c r="II61"/>
      <c r="IJ61"/>
      <c r="IK61"/>
      <c r="IL61"/>
      <c r="IM61"/>
      <c r="IN61"/>
      <c r="IO61"/>
      <c r="IP61"/>
      <c r="IQ61"/>
      <c r="IR61"/>
      <c r="IS61"/>
      <c r="IT61"/>
      <c r="IU61"/>
      <c r="IV61"/>
      <c r="IW61"/>
      <c r="IX61"/>
      <c r="IY61"/>
      <c r="IZ61"/>
      <c r="JA61"/>
      <c r="JB61"/>
      <c r="JC61"/>
      <c r="JD61"/>
      <c r="JE61"/>
      <c r="JF61"/>
      <c r="JG61"/>
      <c r="JH61"/>
      <c r="JI61"/>
      <c r="JJ61"/>
      <c r="JK61"/>
      <c r="JL61"/>
      <c r="JM61"/>
      <c r="JN61"/>
      <c r="JO61"/>
      <c r="JP61"/>
      <c r="JQ61"/>
      <c r="JR61"/>
      <c r="JS61"/>
      <c r="JT61"/>
      <c r="JU61"/>
      <c r="JV61"/>
      <c r="JW61"/>
      <c r="JX61"/>
      <c r="JY61"/>
      <c r="JZ61"/>
      <c r="KA61"/>
      <c r="KB61"/>
      <c r="KC61"/>
      <c r="KD61"/>
      <c r="KE61"/>
      <c r="KF61"/>
      <c r="KG61"/>
      <c r="KH61"/>
      <c r="KI61"/>
      <c r="KJ61"/>
      <c r="KK61"/>
      <c r="KL61"/>
      <c r="KM61"/>
      <c r="KN61"/>
      <c r="KO61"/>
      <c r="KP61"/>
      <c r="KQ61"/>
      <c r="KR61"/>
      <c r="KS61"/>
    </row>
    <row r="62" spans="1:305" ht="29.1" customHeight="1" x14ac:dyDescent="0.25">
      <c r="A62" s="100"/>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c r="HB62"/>
      <c r="HC62"/>
      <c r="HD62"/>
      <c r="HE62"/>
      <c r="HF62"/>
      <c r="HG62"/>
      <c r="HH62"/>
      <c r="HI62"/>
      <c r="HJ62"/>
      <c r="HK62"/>
      <c r="HL62"/>
      <c r="HM62"/>
      <c r="HN62"/>
      <c r="HO62"/>
      <c r="HP62"/>
      <c r="HQ62"/>
      <c r="HR62"/>
      <c r="HS62"/>
      <c r="HT62"/>
      <c r="HU62"/>
      <c r="HV62"/>
      <c r="HW62"/>
      <c r="HX62"/>
      <c r="HY62"/>
      <c r="HZ62"/>
      <c r="IA62"/>
      <c r="IB62"/>
      <c r="IC62"/>
      <c r="ID62"/>
      <c r="IE62"/>
      <c r="IF62"/>
      <c r="IG62"/>
      <c r="IH62"/>
      <c r="II62"/>
      <c r="IJ62"/>
      <c r="IK62"/>
      <c r="IL62"/>
      <c r="IM62"/>
      <c r="IN62"/>
      <c r="IO62"/>
      <c r="IP62"/>
      <c r="IQ62"/>
      <c r="IR62"/>
      <c r="IS62"/>
      <c r="IT62"/>
      <c r="IU62"/>
      <c r="IV62"/>
      <c r="IW62"/>
      <c r="IX62"/>
      <c r="IY62"/>
      <c r="IZ62"/>
      <c r="JA62"/>
      <c r="JB62"/>
      <c r="JC62"/>
      <c r="JD62"/>
      <c r="JE62"/>
      <c r="JF62"/>
      <c r="JG62"/>
      <c r="JH62"/>
      <c r="JI62"/>
      <c r="JJ62"/>
      <c r="JK62"/>
      <c r="JL62"/>
      <c r="JM62"/>
      <c r="JN62"/>
      <c r="JO62"/>
      <c r="JP62"/>
      <c r="JQ62"/>
      <c r="JR62"/>
      <c r="JS62"/>
      <c r="JT62"/>
      <c r="JU62"/>
      <c r="JV62"/>
      <c r="JW62"/>
      <c r="JX62"/>
      <c r="JY62"/>
      <c r="JZ62"/>
      <c r="KA62"/>
      <c r="KB62"/>
      <c r="KC62"/>
      <c r="KD62"/>
      <c r="KE62"/>
      <c r="KF62"/>
      <c r="KG62"/>
      <c r="KH62"/>
      <c r="KI62"/>
      <c r="KJ62"/>
      <c r="KK62"/>
      <c r="KL62"/>
      <c r="KM62"/>
      <c r="KN62"/>
      <c r="KO62"/>
      <c r="KP62"/>
      <c r="KQ62"/>
      <c r="KR62"/>
      <c r="KS62"/>
    </row>
    <row r="63" spans="1:305" ht="29.1" customHeight="1" x14ac:dyDescent="0.25">
      <c r="A63" s="100"/>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c r="HB63"/>
      <c r="HC63"/>
      <c r="HD63"/>
      <c r="HE63"/>
      <c r="HF63"/>
      <c r="HG63"/>
      <c r="HH63"/>
      <c r="HI63"/>
      <c r="HJ63"/>
      <c r="HK63"/>
      <c r="HL63"/>
      <c r="HM63"/>
      <c r="HN63"/>
      <c r="HO63"/>
      <c r="HP63"/>
      <c r="HQ63"/>
      <c r="HR63"/>
      <c r="HS63"/>
      <c r="HT63"/>
      <c r="HU63"/>
      <c r="HV63"/>
      <c r="HW63"/>
      <c r="HX63"/>
      <c r="HY63"/>
      <c r="HZ63"/>
      <c r="IA63"/>
      <c r="IB63"/>
      <c r="IC63"/>
      <c r="ID63"/>
      <c r="IE63"/>
      <c r="IF63"/>
      <c r="IG63"/>
      <c r="IH63"/>
      <c r="II63"/>
      <c r="IJ63"/>
      <c r="IK63"/>
      <c r="IL63"/>
      <c r="IM63"/>
      <c r="IN63"/>
      <c r="IO63"/>
      <c r="IP63"/>
      <c r="IQ63"/>
      <c r="IR63"/>
      <c r="IS63"/>
      <c r="IT63"/>
      <c r="IU63"/>
      <c r="IV63"/>
      <c r="IW63"/>
      <c r="IX63"/>
      <c r="IY63"/>
      <c r="IZ63"/>
      <c r="JA63"/>
      <c r="JB63"/>
      <c r="JC63"/>
      <c r="JD63"/>
      <c r="JE63"/>
      <c r="JF63"/>
      <c r="JG63"/>
      <c r="JH63"/>
      <c r="JI63"/>
      <c r="JJ63"/>
      <c r="JK63"/>
      <c r="JL63"/>
      <c r="JM63"/>
      <c r="JN63"/>
      <c r="JO63"/>
      <c r="JP63"/>
      <c r="JQ63"/>
      <c r="JR63"/>
      <c r="JS63"/>
      <c r="JT63"/>
      <c r="JU63"/>
      <c r="JV63"/>
      <c r="JW63"/>
      <c r="JX63"/>
      <c r="JY63"/>
      <c r="JZ63"/>
      <c r="KA63"/>
      <c r="KB63"/>
      <c r="KC63"/>
      <c r="KD63"/>
      <c r="KE63"/>
      <c r="KF63"/>
      <c r="KG63"/>
      <c r="KH63"/>
      <c r="KI63"/>
      <c r="KJ63"/>
      <c r="KK63"/>
      <c r="KL63"/>
      <c r="KM63"/>
      <c r="KN63"/>
      <c r="KO63"/>
      <c r="KP63"/>
      <c r="KQ63"/>
      <c r="KR63"/>
      <c r="KS63"/>
    </row>
    <row r="64" spans="1:305" ht="29.1" customHeight="1" x14ac:dyDescent="0.25">
      <c r="A64" s="100"/>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c r="IW64"/>
      <c r="IX64"/>
      <c r="IY64"/>
      <c r="IZ64"/>
      <c r="JA64"/>
      <c r="JB64"/>
      <c r="JC64"/>
      <c r="JD64"/>
      <c r="JE64"/>
      <c r="JF64"/>
      <c r="JG64"/>
      <c r="JH64"/>
      <c r="JI64"/>
      <c r="JJ64"/>
      <c r="JK64"/>
      <c r="JL64"/>
      <c r="JM64"/>
      <c r="JN64"/>
      <c r="JO64"/>
      <c r="JP64"/>
      <c r="JQ64"/>
      <c r="JR64"/>
      <c r="JS64"/>
      <c r="JT64"/>
      <c r="JU64"/>
      <c r="JV64"/>
      <c r="JW64"/>
      <c r="JX64"/>
      <c r="JY64"/>
      <c r="JZ64"/>
      <c r="KA64"/>
      <c r="KB64"/>
      <c r="KC64"/>
      <c r="KD64"/>
      <c r="KE64"/>
      <c r="KF64"/>
      <c r="KG64"/>
      <c r="KH64"/>
      <c r="KI64"/>
      <c r="KJ64"/>
      <c r="KK64"/>
      <c r="KL64"/>
      <c r="KM64"/>
      <c r="KN64"/>
      <c r="KO64"/>
      <c r="KP64"/>
      <c r="KQ64"/>
      <c r="KR64"/>
      <c r="KS64"/>
    </row>
    <row r="65" spans="1:305" ht="29.1" customHeight="1" x14ac:dyDescent="0.25">
      <c r="A65" s="100"/>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c r="HB65"/>
      <c r="HC65"/>
      <c r="HD65"/>
      <c r="HE65"/>
      <c r="HF65"/>
      <c r="HG65"/>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c r="IU65"/>
      <c r="IV65"/>
      <c r="IW65"/>
      <c r="IX65"/>
      <c r="IY65"/>
      <c r="IZ65"/>
      <c r="JA65"/>
      <c r="JB65"/>
      <c r="JC65"/>
      <c r="JD65"/>
      <c r="JE65"/>
      <c r="JF65"/>
      <c r="JG65"/>
      <c r="JH65"/>
      <c r="JI65"/>
      <c r="JJ65"/>
      <c r="JK65"/>
      <c r="JL65"/>
      <c r="JM65"/>
      <c r="JN65"/>
      <c r="JO65"/>
      <c r="JP65"/>
      <c r="JQ65"/>
      <c r="JR65"/>
      <c r="JS65"/>
      <c r="JT65"/>
      <c r="JU65"/>
      <c r="JV65"/>
      <c r="JW65"/>
      <c r="JX65"/>
      <c r="JY65"/>
      <c r="JZ65"/>
      <c r="KA65"/>
      <c r="KB65"/>
      <c r="KC65"/>
      <c r="KD65"/>
      <c r="KE65"/>
      <c r="KF65"/>
      <c r="KG65"/>
      <c r="KH65"/>
      <c r="KI65"/>
      <c r="KJ65"/>
      <c r="KK65"/>
      <c r="KL65"/>
      <c r="KM65"/>
      <c r="KN65"/>
      <c r="KO65"/>
      <c r="KP65"/>
      <c r="KQ65"/>
      <c r="KR65"/>
      <c r="KS65"/>
    </row>
    <row r="66" spans="1:305" ht="29.1" customHeight="1" x14ac:dyDescent="0.25">
      <c r="A66" s="100"/>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c r="IW66"/>
      <c r="IX66"/>
      <c r="IY66"/>
      <c r="IZ66"/>
      <c r="JA66"/>
      <c r="JB66"/>
      <c r="JC66"/>
      <c r="JD66"/>
      <c r="JE66"/>
      <c r="JF66"/>
      <c r="JG66"/>
      <c r="JH66"/>
      <c r="JI66"/>
      <c r="JJ66"/>
      <c r="JK66"/>
      <c r="JL66"/>
      <c r="JM66"/>
      <c r="JN66"/>
      <c r="JO66"/>
      <c r="JP66"/>
      <c r="JQ66"/>
      <c r="JR66"/>
      <c r="JS66"/>
      <c r="JT66"/>
      <c r="JU66"/>
      <c r="JV66"/>
      <c r="JW66"/>
      <c r="JX66"/>
      <c r="JY66"/>
      <c r="JZ66"/>
      <c r="KA66"/>
      <c r="KB66"/>
      <c r="KC66"/>
      <c r="KD66"/>
      <c r="KE66"/>
      <c r="KF66"/>
      <c r="KG66"/>
      <c r="KH66"/>
      <c r="KI66"/>
      <c r="KJ66"/>
      <c r="KK66"/>
      <c r="KL66"/>
      <c r="KM66"/>
      <c r="KN66"/>
      <c r="KO66"/>
      <c r="KP66"/>
      <c r="KQ66"/>
      <c r="KR66"/>
      <c r="KS66"/>
    </row>
    <row r="67" spans="1:305" ht="29.1" customHeight="1" x14ac:dyDescent="0.25">
      <c r="A67" s="100"/>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c r="IW67"/>
      <c r="IX67"/>
      <c r="IY67"/>
      <c r="IZ67"/>
      <c r="JA67"/>
      <c r="JB67"/>
      <c r="JC67"/>
      <c r="JD67"/>
      <c r="JE67"/>
      <c r="JF67"/>
      <c r="JG67"/>
      <c r="JH67"/>
      <c r="JI67"/>
      <c r="JJ67"/>
      <c r="JK67"/>
      <c r="JL67"/>
      <c r="JM67"/>
      <c r="JN67"/>
      <c r="JO67"/>
      <c r="JP67"/>
      <c r="JQ67"/>
      <c r="JR67"/>
      <c r="JS67"/>
      <c r="JT67"/>
      <c r="JU67"/>
      <c r="JV67"/>
      <c r="JW67"/>
      <c r="JX67"/>
      <c r="JY67"/>
      <c r="JZ67"/>
      <c r="KA67"/>
      <c r="KB67"/>
      <c r="KC67"/>
      <c r="KD67"/>
      <c r="KE67"/>
      <c r="KF67"/>
      <c r="KG67"/>
      <c r="KH67"/>
      <c r="KI67"/>
      <c r="KJ67"/>
      <c r="KK67"/>
      <c r="KL67"/>
      <c r="KM67"/>
      <c r="KN67"/>
      <c r="KO67"/>
      <c r="KP67"/>
      <c r="KQ67"/>
      <c r="KR67"/>
      <c r="KS67"/>
    </row>
    <row r="68" spans="1:305" ht="29.1" customHeight="1" x14ac:dyDescent="0.25">
      <c r="A68" s="100"/>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c r="HB68"/>
      <c r="HC68"/>
      <c r="HD68"/>
      <c r="HE68"/>
      <c r="HF68"/>
      <c r="HG68"/>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c r="IS68"/>
      <c r="IT68"/>
      <c r="IU68"/>
      <c r="IV68"/>
      <c r="IW68"/>
      <c r="IX68"/>
      <c r="IY68"/>
      <c r="IZ68"/>
      <c r="JA68"/>
      <c r="JB68"/>
      <c r="JC68"/>
      <c r="JD68"/>
      <c r="JE68"/>
      <c r="JF68"/>
      <c r="JG68"/>
      <c r="JH68"/>
      <c r="JI68"/>
      <c r="JJ68"/>
      <c r="JK68"/>
      <c r="JL68"/>
      <c r="JM68"/>
      <c r="JN68"/>
      <c r="JO68"/>
      <c r="JP68"/>
      <c r="JQ68"/>
      <c r="JR68"/>
      <c r="JS68"/>
      <c r="JT68"/>
      <c r="JU68"/>
      <c r="JV68"/>
      <c r="JW68"/>
      <c r="JX68"/>
      <c r="JY68"/>
      <c r="JZ68"/>
      <c r="KA68"/>
      <c r="KB68"/>
      <c r="KC68"/>
      <c r="KD68"/>
      <c r="KE68"/>
      <c r="KF68"/>
      <c r="KG68"/>
      <c r="KH68"/>
      <c r="KI68"/>
      <c r="KJ68"/>
      <c r="KK68"/>
      <c r="KL68"/>
      <c r="KM68"/>
      <c r="KN68"/>
      <c r="KO68"/>
      <c r="KP68"/>
      <c r="KQ68"/>
      <c r="KR68"/>
      <c r="KS68"/>
    </row>
    <row r="69" spans="1:305" ht="29.1" customHeight="1" x14ac:dyDescent="0.25">
      <c r="A69" s="100"/>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c r="HB69"/>
      <c r="HC69"/>
      <c r="HD69"/>
      <c r="HE69"/>
      <c r="HF69"/>
      <c r="HG69"/>
      <c r="HH69"/>
      <c r="HI69"/>
      <c r="HJ69"/>
      <c r="HK69"/>
      <c r="HL69"/>
      <c r="HM69"/>
      <c r="HN69"/>
      <c r="HO69"/>
      <c r="HP69"/>
      <c r="HQ69"/>
      <c r="HR69"/>
      <c r="HS69"/>
      <c r="HT69"/>
      <c r="HU69"/>
      <c r="HV69"/>
      <c r="HW69"/>
      <c r="HX69"/>
      <c r="HY69"/>
      <c r="HZ69"/>
      <c r="IA69"/>
      <c r="IB69"/>
      <c r="IC69"/>
      <c r="ID69"/>
      <c r="IE69"/>
      <c r="IF69"/>
      <c r="IG69"/>
      <c r="IH69"/>
      <c r="II69"/>
      <c r="IJ69"/>
      <c r="IK69"/>
      <c r="IL69"/>
      <c r="IM69"/>
      <c r="IN69"/>
      <c r="IO69"/>
      <c r="IP69"/>
      <c r="IQ69"/>
      <c r="IR69"/>
      <c r="IS69"/>
      <c r="IT69"/>
      <c r="IU69"/>
      <c r="IV69"/>
      <c r="IW69"/>
      <c r="IX69"/>
      <c r="IY69"/>
      <c r="IZ69"/>
      <c r="JA69"/>
      <c r="JB69"/>
      <c r="JC69"/>
      <c r="JD69"/>
      <c r="JE69"/>
      <c r="JF69"/>
      <c r="JG69"/>
      <c r="JH69"/>
      <c r="JI69"/>
      <c r="JJ69"/>
      <c r="JK69"/>
      <c r="JL69"/>
      <c r="JM69"/>
      <c r="JN69"/>
      <c r="JO69"/>
      <c r="JP69"/>
      <c r="JQ69"/>
      <c r="JR69"/>
      <c r="JS69"/>
      <c r="JT69"/>
      <c r="JU69"/>
      <c r="JV69"/>
      <c r="JW69"/>
      <c r="JX69"/>
      <c r="JY69"/>
      <c r="JZ69"/>
      <c r="KA69"/>
      <c r="KB69"/>
      <c r="KC69"/>
      <c r="KD69"/>
      <c r="KE69"/>
      <c r="KF69"/>
      <c r="KG69"/>
      <c r="KH69"/>
      <c r="KI69"/>
      <c r="KJ69"/>
      <c r="KK69"/>
      <c r="KL69"/>
      <c r="KM69"/>
      <c r="KN69"/>
      <c r="KO69"/>
      <c r="KP69"/>
      <c r="KQ69"/>
      <c r="KR69"/>
      <c r="KS69"/>
    </row>
    <row r="70" spans="1:305" ht="29.1" customHeight="1" x14ac:dyDescent="0.25">
      <c r="A70" s="10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c r="HB70"/>
      <c r="HC70"/>
      <c r="HD70"/>
      <c r="HE70"/>
      <c r="HF70"/>
      <c r="HG70"/>
      <c r="HH70"/>
      <c r="HI70"/>
      <c r="HJ70"/>
      <c r="HK70"/>
      <c r="HL70"/>
      <c r="HM70"/>
      <c r="HN70"/>
      <c r="HO70"/>
      <c r="HP70"/>
      <c r="HQ70"/>
      <c r="HR70"/>
      <c r="HS70"/>
      <c r="HT70"/>
      <c r="HU70"/>
      <c r="HV70"/>
      <c r="HW70"/>
      <c r="HX70"/>
      <c r="HY70"/>
      <c r="HZ70"/>
      <c r="IA70"/>
      <c r="IB70"/>
      <c r="IC70"/>
      <c r="ID70"/>
      <c r="IE70"/>
      <c r="IF70"/>
      <c r="IG70"/>
      <c r="IH70"/>
      <c r="II70"/>
      <c r="IJ70"/>
      <c r="IK70"/>
      <c r="IL70"/>
      <c r="IM70"/>
      <c r="IN70"/>
      <c r="IO70"/>
      <c r="IP70"/>
      <c r="IQ70"/>
      <c r="IR70"/>
      <c r="IS70"/>
      <c r="IT70"/>
      <c r="IU70"/>
      <c r="IV70"/>
      <c r="IW70"/>
      <c r="IX70"/>
      <c r="IY70"/>
      <c r="IZ70"/>
      <c r="JA70"/>
      <c r="JB70"/>
      <c r="JC70"/>
      <c r="JD70"/>
      <c r="JE70"/>
      <c r="JF70"/>
      <c r="JG70"/>
      <c r="JH70"/>
      <c r="JI70"/>
      <c r="JJ70"/>
      <c r="JK70"/>
      <c r="JL70"/>
      <c r="JM70"/>
      <c r="JN70"/>
      <c r="JO70"/>
      <c r="JP70"/>
      <c r="JQ70"/>
      <c r="JR70"/>
      <c r="JS70"/>
      <c r="JT70"/>
      <c r="JU70"/>
      <c r="JV70"/>
      <c r="JW70"/>
      <c r="JX70"/>
      <c r="JY70"/>
      <c r="JZ70"/>
      <c r="KA70"/>
      <c r="KB70"/>
      <c r="KC70"/>
      <c r="KD70"/>
      <c r="KE70"/>
      <c r="KF70"/>
      <c r="KG70"/>
      <c r="KH70"/>
      <c r="KI70"/>
      <c r="KJ70"/>
      <c r="KK70"/>
      <c r="KL70"/>
      <c r="KM70"/>
      <c r="KN70"/>
      <c r="KO70"/>
      <c r="KP70"/>
      <c r="KQ70"/>
      <c r="KR70"/>
      <c r="KS70"/>
    </row>
    <row r="71" spans="1:305" ht="29.1" customHeight="1" x14ac:dyDescent="0.25">
      <c r="A71" s="100"/>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c r="HB71"/>
      <c r="HC71"/>
      <c r="HD71"/>
      <c r="HE71"/>
      <c r="HF71"/>
      <c r="HG71"/>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c r="IU71"/>
      <c r="IV71"/>
      <c r="IW71"/>
      <c r="IX71"/>
      <c r="IY71"/>
      <c r="IZ71"/>
      <c r="JA71"/>
      <c r="JB71"/>
      <c r="JC71"/>
      <c r="JD71"/>
      <c r="JE71"/>
      <c r="JF71"/>
      <c r="JG71"/>
      <c r="JH71"/>
      <c r="JI71"/>
      <c r="JJ71"/>
      <c r="JK71"/>
      <c r="JL71"/>
      <c r="JM71"/>
      <c r="JN71"/>
      <c r="JO71"/>
      <c r="JP71"/>
      <c r="JQ71"/>
      <c r="JR71"/>
      <c r="JS71"/>
      <c r="JT71"/>
      <c r="JU71"/>
      <c r="JV71"/>
      <c r="JW71"/>
      <c r="JX71"/>
      <c r="JY71"/>
      <c r="JZ71"/>
      <c r="KA71"/>
      <c r="KB71"/>
      <c r="KC71"/>
      <c r="KD71"/>
      <c r="KE71"/>
      <c r="KF71"/>
      <c r="KG71"/>
      <c r="KH71"/>
      <c r="KI71"/>
      <c r="KJ71"/>
      <c r="KK71"/>
      <c r="KL71"/>
      <c r="KM71"/>
      <c r="KN71"/>
      <c r="KO71"/>
      <c r="KP71"/>
      <c r="KQ71"/>
      <c r="KR71"/>
      <c r="KS71"/>
    </row>
    <row r="72" spans="1:305" ht="29.1" customHeight="1" x14ac:dyDescent="0.25">
      <c r="A72" s="100"/>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c r="HB72"/>
      <c r="HC72"/>
      <c r="HD72"/>
      <c r="HE72"/>
      <c r="HF72"/>
      <c r="HG72"/>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c r="IU72"/>
      <c r="IV72"/>
      <c r="IW72"/>
      <c r="IX72"/>
      <c r="IY72"/>
      <c r="IZ72"/>
      <c r="JA72"/>
      <c r="JB72"/>
      <c r="JC72"/>
      <c r="JD72"/>
      <c r="JE72"/>
      <c r="JF72"/>
      <c r="JG72"/>
      <c r="JH72"/>
      <c r="JI72"/>
      <c r="JJ72"/>
      <c r="JK72"/>
      <c r="JL72"/>
      <c r="JM72"/>
      <c r="JN72"/>
      <c r="JO72"/>
      <c r="JP72"/>
      <c r="JQ72"/>
      <c r="JR72"/>
      <c r="JS72"/>
      <c r="JT72"/>
      <c r="JU72"/>
      <c r="JV72"/>
      <c r="JW72"/>
      <c r="JX72"/>
      <c r="JY72"/>
      <c r="JZ72"/>
      <c r="KA72"/>
      <c r="KB72"/>
      <c r="KC72"/>
      <c r="KD72"/>
      <c r="KE72"/>
      <c r="KF72"/>
      <c r="KG72"/>
      <c r="KH72"/>
      <c r="KI72"/>
      <c r="KJ72"/>
      <c r="KK72"/>
      <c r="KL72"/>
      <c r="KM72"/>
      <c r="KN72"/>
      <c r="KO72"/>
      <c r="KP72"/>
      <c r="KQ72"/>
      <c r="KR72"/>
      <c r="KS72"/>
    </row>
    <row r="73" spans="1:305" ht="29.1" customHeight="1" x14ac:dyDescent="0.25">
      <c r="A73" s="100"/>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c r="HB73"/>
      <c r="HC73"/>
      <c r="HD73"/>
      <c r="HE73"/>
      <c r="HF73"/>
      <c r="HG73"/>
      <c r="HH73"/>
      <c r="HI73"/>
      <c r="HJ73"/>
      <c r="HK73"/>
      <c r="HL73"/>
      <c r="HM73"/>
      <c r="HN73"/>
      <c r="HO73"/>
      <c r="HP73"/>
      <c r="HQ73"/>
      <c r="HR73"/>
      <c r="HS73"/>
      <c r="HT73"/>
      <c r="HU73"/>
      <c r="HV73"/>
      <c r="HW73"/>
      <c r="HX73"/>
      <c r="HY73"/>
      <c r="HZ73"/>
      <c r="IA73"/>
      <c r="IB73"/>
      <c r="IC73"/>
      <c r="ID73"/>
      <c r="IE73"/>
      <c r="IF73"/>
      <c r="IG73"/>
      <c r="IH73"/>
      <c r="II73"/>
      <c r="IJ73"/>
      <c r="IK73"/>
      <c r="IL73"/>
      <c r="IM73"/>
      <c r="IN73"/>
      <c r="IO73"/>
      <c r="IP73"/>
      <c r="IQ73"/>
      <c r="IR73"/>
      <c r="IS73"/>
      <c r="IT73"/>
      <c r="IU73"/>
      <c r="IV73"/>
      <c r="IW73"/>
      <c r="IX73"/>
      <c r="IY73"/>
      <c r="IZ73"/>
      <c r="JA73"/>
      <c r="JB73"/>
      <c r="JC73"/>
      <c r="JD73"/>
      <c r="JE73"/>
      <c r="JF73"/>
      <c r="JG73"/>
      <c r="JH73"/>
      <c r="JI73"/>
      <c r="JJ73"/>
      <c r="JK73"/>
      <c r="JL73"/>
      <c r="JM73"/>
      <c r="JN73"/>
      <c r="JO73"/>
      <c r="JP73"/>
      <c r="JQ73"/>
      <c r="JR73"/>
      <c r="JS73"/>
      <c r="JT73"/>
      <c r="JU73"/>
      <c r="JV73"/>
      <c r="JW73"/>
      <c r="JX73"/>
      <c r="JY73"/>
      <c r="JZ73"/>
      <c r="KA73"/>
      <c r="KB73"/>
      <c r="KC73"/>
      <c r="KD73"/>
      <c r="KE73"/>
      <c r="KF73"/>
      <c r="KG73"/>
      <c r="KH73"/>
      <c r="KI73"/>
      <c r="KJ73"/>
      <c r="KK73"/>
      <c r="KL73"/>
      <c r="KM73"/>
      <c r="KN73"/>
      <c r="KO73"/>
      <c r="KP73"/>
      <c r="KQ73"/>
      <c r="KR73"/>
      <c r="KS73"/>
    </row>
    <row r="74" spans="1:305" ht="29.1" customHeight="1" x14ac:dyDescent="0.25">
      <c r="A74" s="100"/>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c r="HB74"/>
      <c r="HC74"/>
      <c r="HD74"/>
      <c r="HE74"/>
      <c r="HF74"/>
      <c r="HG74"/>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c r="IS74"/>
      <c r="IT74"/>
      <c r="IU74"/>
      <c r="IV74"/>
      <c r="IW74"/>
      <c r="IX74"/>
      <c r="IY74"/>
      <c r="IZ74"/>
      <c r="JA74"/>
      <c r="JB74"/>
      <c r="JC74"/>
      <c r="JD74"/>
      <c r="JE74"/>
      <c r="JF74"/>
      <c r="JG74"/>
      <c r="JH74"/>
      <c r="JI74"/>
      <c r="JJ74"/>
      <c r="JK74"/>
      <c r="JL74"/>
      <c r="JM74"/>
      <c r="JN74"/>
      <c r="JO74"/>
      <c r="JP74"/>
      <c r="JQ74"/>
      <c r="JR74"/>
      <c r="JS74"/>
      <c r="JT74"/>
      <c r="JU74"/>
      <c r="JV74"/>
      <c r="JW74"/>
      <c r="JX74"/>
      <c r="JY74"/>
      <c r="JZ74"/>
      <c r="KA74"/>
      <c r="KB74"/>
      <c r="KC74"/>
      <c r="KD74"/>
      <c r="KE74"/>
      <c r="KF74"/>
      <c r="KG74"/>
      <c r="KH74"/>
      <c r="KI74"/>
      <c r="KJ74"/>
      <c r="KK74"/>
      <c r="KL74"/>
      <c r="KM74"/>
      <c r="KN74"/>
      <c r="KO74"/>
      <c r="KP74"/>
      <c r="KQ74"/>
      <c r="KR74"/>
      <c r="KS74"/>
    </row>
    <row r="75" spans="1:305" ht="29.1" customHeight="1" x14ac:dyDescent="0.25">
      <c r="A75" s="100"/>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c r="HB75"/>
      <c r="HC75"/>
      <c r="HD75"/>
      <c r="HE75"/>
      <c r="HF75"/>
      <c r="HG75"/>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c r="IS75"/>
      <c r="IT75"/>
      <c r="IU75"/>
      <c r="IV75"/>
      <c r="IW75"/>
      <c r="IX75"/>
      <c r="IY75"/>
      <c r="IZ75"/>
      <c r="JA75"/>
      <c r="JB75"/>
      <c r="JC75"/>
      <c r="JD75"/>
      <c r="JE75"/>
      <c r="JF75"/>
      <c r="JG75"/>
      <c r="JH75"/>
      <c r="JI75"/>
      <c r="JJ75"/>
      <c r="JK75"/>
      <c r="JL75"/>
      <c r="JM75"/>
      <c r="JN75"/>
      <c r="JO75"/>
      <c r="JP75"/>
      <c r="JQ75"/>
      <c r="JR75"/>
      <c r="JS75"/>
      <c r="JT75"/>
      <c r="JU75"/>
      <c r="JV75"/>
      <c r="JW75"/>
      <c r="JX75"/>
      <c r="JY75"/>
      <c r="JZ75"/>
      <c r="KA75"/>
      <c r="KB75"/>
      <c r="KC75"/>
      <c r="KD75"/>
      <c r="KE75"/>
      <c r="KF75"/>
      <c r="KG75"/>
      <c r="KH75"/>
      <c r="KI75"/>
      <c r="KJ75"/>
      <c r="KK75"/>
      <c r="KL75"/>
      <c r="KM75"/>
      <c r="KN75"/>
      <c r="KO75"/>
      <c r="KP75"/>
      <c r="KQ75"/>
      <c r="KR75"/>
      <c r="KS75"/>
    </row>
    <row r="76" spans="1:305" ht="29.1" customHeight="1" x14ac:dyDescent="0.25">
      <c r="A76" s="100"/>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c r="HB76"/>
      <c r="HC76"/>
      <c r="HD76"/>
      <c r="HE76"/>
      <c r="HF76"/>
      <c r="HG76"/>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c r="IS76"/>
      <c r="IT76"/>
      <c r="IU76"/>
      <c r="IV76"/>
      <c r="IW76"/>
      <c r="IX76"/>
      <c r="IY76"/>
      <c r="IZ76"/>
      <c r="JA76"/>
      <c r="JB76"/>
      <c r="JC76"/>
      <c r="JD76"/>
      <c r="JE76"/>
      <c r="JF76"/>
      <c r="JG76"/>
      <c r="JH76"/>
      <c r="JI76"/>
      <c r="JJ76"/>
      <c r="JK76"/>
      <c r="JL76"/>
      <c r="JM76"/>
      <c r="JN76"/>
      <c r="JO76"/>
      <c r="JP76"/>
      <c r="JQ76"/>
      <c r="JR76"/>
      <c r="JS76"/>
      <c r="JT76"/>
      <c r="JU76"/>
      <c r="JV76"/>
      <c r="JW76"/>
      <c r="JX76"/>
      <c r="JY76"/>
      <c r="JZ76"/>
      <c r="KA76"/>
      <c r="KB76"/>
      <c r="KC76"/>
      <c r="KD76"/>
      <c r="KE76"/>
      <c r="KF76"/>
      <c r="KG76"/>
      <c r="KH76"/>
      <c r="KI76"/>
      <c r="KJ76"/>
      <c r="KK76"/>
      <c r="KL76"/>
      <c r="KM76"/>
      <c r="KN76"/>
      <c r="KO76"/>
      <c r="KP76"/>
      <c r="KQ76"/>
      <c r="KR76"/>
      <c r="KS76"/>
    </row>
    <row r="77" spans="1:305" ht="29.1" customHeight="1" x14ac:dyDescent="0.25">
      <c r="A77" s="100"/>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c r="HB77"/>
      <c r="HC77"/>
      <c r="HD77"/>
      <c r="HE77"/>
      <c r="HF77"/>
      <c r="HG77"/>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c r="IS77"/>
      <c r="IT77"/>
      <c r="IU77"/>
      <c r="IV77"/>
      <c r="IW77"/>
      <c r="IX77"/>
      <c r="IY77"/>
      <c r="IZ77"/>
      <c r="JA77"/>
      <c r="JB77"/>
      <c r="JC77"/>
      <c r="JD77"/>
      <c r="JE77"/>
      <c r="JF77"/>
      <c r="JG77"/>
      <c r="JH77"/>
      <c r="JI77"/>
      <c r="JJ77"/>
      <c r="JK77"/>
      <c r="JL77"/>
      <c r="JM77"/>
      <c r="JN77"/>
      <c r="JO77"/>
      <c r="JP77"/>
      <c r="JQ77"/>
      <c r="JR77"/>
      <c r="JS77"/>
      <c r="JT77"/>
      <c r="JU77"/>
      <c r="JV77"/>
      <c r="JW77"/>
      <c r="JX77"/>
      <c r="JY77"/>
      <c r="JZ77"/>
      <c r="KA77"/>
      <c r="KB77"/>
      <c r="KC77"/>
      <c r="KD77"/>
      <c r="KE77"/>
      <c r="KF77"/>
      <c r="KG77"/>
      <c r="KH77"/>
      <c r="KI77"/>
      <c r="KJ77"/>
      <c r="KK77"/>
      <c r="KL77"/>
      <c r="KM77"/>
      <c r="KN77"/>
      <c r="KO77"/>
      <c r="KP77"/>
      <c r="KQ77"/>
      <c r="KR77"/>
      <c r="KS77"/>
    </row>
    <row r="78" spans="1:305" ht="29.1" customHeight="1" x14ac:dyDescent="0.25">
      <c r="A78" s="100"/>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c r="HB78"/>
      <c r="HC78"/>
      <c r="HD78"/>
      <c r="HE78"/>
      <c r="HF78"/>
      <c r="HG78"/>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c r="IU78"/>
      <c r="IV78"/>
      <c r="IW78"/>
      <c r="IX78"/>
      <c r="IY78"/>
      <c r="IZ78"/>
      <c r="JA78"/>
      <c r="JB78"/>
      <c r="JC78"/>
      <c r="JD78"/>
      <c r="JE78"/>
      <c r="JF78"/>
      <c r="JG78"/>
      <c r="JH78"/>
      <c r="JI78"/>
      <c r="JJ78"/>
      <c r="JK78"/>
      <c r="JL78"/>
      <c r="JM78"/>
      <c r="JN78"/>
      <c r="JO78"/>
      <c r="JP78"/>
      <c r="JQ78"/>
      <c r="JR78"/>
      <c r="JS78"/>
      <c r="JT78"/>
      <c r="JU78"/>
      <c r="JV78"/>
      <c r="JW78"/>
      <c r="JX78"/>
      <c r="JY78"/>
      <c r="JZ78"/>
      <c r="KA78"/>
      <c r="KB78"/>
      <c r="KC78"/>
      <c r="KD78"/>
      <c r="KE78"/>
      <c r="KF78"/>
      <c r="KG78"/>
      <c r="KH78"/>
      <c r="KI78"/>
      <c r="KJ78"/>
      <c r="KK78"/>
      <c r="KL78"/>
      <c r="KM78"/>
      <c r="KN78"/>
      <c r="KO78"/>
      <c r="KP78"/>
      <c r="KQ78"/>
      <c r="KR78"/>
      <c r="KS78"/>
    </row>
    <row r="79" spans="1:305" ht="29.1" customHeight="1" x14ac:dyDescent="0.25">
      <c r="A79" s="100"/>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c r="IU79"/>
      <c r="IV79"/>
      <c r="IW79"/>
      <c r="IX79"/>
      <c r="IY79"/>
      <c r="IZ79"/>
      <c r="JA79"/>
      <c r="JB79"/>
      <c r="JC79"/>
      <c r="JD79"/>
      <c r="JE79"/>
      <c r="JF79"/>
      <c r="JG79"/>
      <c r="JH79"/>
      <c r="JI79"/>
      <c r="JJ79"/>
      <c r="JK79"/>
      <c r="JL79"/>
      <c r="JM79"/>
      <c r="JN79"/>
      <c r="JO79"/>
      <c r="JP79"/>
      <c r="JQ79"/>
      <c r="JR79"/>
      <c r="JS79"/>
      <c r="JT79"/>
      <c r="JU79"/>
      <c r="JV79"/>
      <c r="JW79"/>
      <c r="JX79"/>
      <c r="JY79"/>
      <c r="JZ79"/>
      <c r="KA79"/>
      <c r="KB79"/>
      <c r="KC79"/>
      <c r="KD79"/>
      <c r="KE79"/>
      <c r="KF79"/>
      <c r="KG79"/>
      <c r="KH79"/>
      <c r="KI79"/>
      <c r="KJ79"/>
      <c r="KK79"/>
      <c r="KL79"/>
      <c r="KM79"/>
      <c r="KN79"/>
      <c r="KO79"/>
      <c r="KP79"/>
      <c r="KQ79"/>
      <c r="KR79"/>
      <c r="KS79"/>
    </row>
    <row r="80" spans="1:305" ht="29.1" customHeight="1" x14ac:dyDescent="0.25">
      <c r="A80" s="10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c r="HB80"/>
      <c r="HC80"/>
      <c r="HD80"/>
      <c r="HE80"/>
      <c r="HF80"/>
      <c r="HG80"/>
      <c r="HH80"/>
      <c r="HI80"/>
      <c r="HJ80"/>
      <c r="HK80"/>
      <c r="HL80"/>
      <c r="HM80"/>
      <c r="HN80"/>
      <c r="HO80"/>
      <c r="HP80"/>
      <c r="HQ80"/>
      <c r="HR80"/>
      <c r="HS80"/>
      <c r="HT80"/>
      <c r="HU80"/>
      <c r="HV80"/>
      <c r="HW80"/>
      <c r="HX80"/>
      <c r="HY80"/>
      <c r="HZ80"/>
      <c r="IA80"/>
      <c r="IB80"/>
      <c r="IC80"/>
      <c r="ID80"/>
      <c r="IE80"/>
      <c r="IF80"/>
      <c r="IG80"/>
      <c r="IH80"/>
      <c r="II80"/>
      <c r="IJ80"/>
      <c r="IK80"/>
      <c r="IL80"/>
      <c r="IM80"/>
      <c r="IN80"/>
      <c r="IO80"/>
      <c r="IP80"/>
      <c r="IQ80"/>
      <c r="IR80"/>
      <c r="IS80"/>
      <c r="IT80"/>
      <c r="IU80"/>
      <c r="IV80"/>
      <c r="IW80"/>
      <c r="IX80"/>
      <c r="IY80"/>
      <c r="IZ80"/>
      <c r="JA80"/>
      <c r="JB80"/>
      <c r="JC80"/>
      <c r="JD80"/>
      <c r="JE80"/>
      <c r="JF80"/>
      <c r="JG80"/>
      <c r="JH80"/>
      <c r="JI80"/>
      <c r="JJ80"/>
      <c r="JK80"/>
      <c r="JL80"/>
      <c r="JM80"/>
      <c r="JN80"/>
      <c r="JO80"/>
      <c r="JP80"/>
      <c r="JQ80"/>
      <c r="JR80"/>
      <c r="JS80"/>
      <c r="JT80"/>
      <c r="JU80"/>
      <c r="JV80"/>
      <c r="JW80"/>
      <c r="JX80"/>
      <c r="JY80"/>
      <c r="JZ80"/>
      <c r="KA80"/>
      <c r="KB80"/>
      <c r="KC80"/>
      <c r="KD80"/>
      <c r="KE80"/>
      <c r="KF80"/>
      <c r="KG80"/>
      <c r="KH80"/>
      <c r="KI80"/>
      <c r="KJ80"/>
      <c r="KK80"/>
      <c r="KL80"/>
      <c r="KM80"/>
      <c r="KN80"/>
      <c r="KO80"/>
      <c r="KP80"/>
      <c r="KQ80"/>
      <c r="KR80"/>
      <c r="KS80"/>
    </row>
    <row r="81" spans="1:305" ht="29.1" customHeight="1" x14ac:dyDescent="0.25">
      <c r="A81" s="100"/>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c r="HB81"/>
      <c r="HC81"/>
      <c r="HD81"/>
      <c r="HE81"/>
      <c r="HF81"/>
      <c r="HG81"/>
      <c r="HH81"/>
      <c r="HI81"/>
      <c r="HJ81"/>
      <c r="HK81"/>
      <c r="HL81"/>
      <c r="HM81"/>
      <c r="HN81"/>
      <c r="HO81"/>
      <c r="HP81"/>
      <c r="HQ81"/>
      <c r="HR81"/>
      <c r="HS81"/>
      <c r="HT81"/>
      <c r="HU81"/>
      <c r="HV81"/>
      <c r="HW81"/>
      <c r="HX81"/>
      <c r="HY81"/>
      <c r="HZ81"/>
      <c r="IA81"/>
      <c r="IB81"/>
      <c r="IC81"/>
      <c r="ID81"/>
      <c r="IE81"/>
      <c r="IF81"/>
      <c r="IG81"/>
      <c r="IH81"/>
      <c r="II81"/>
      <c r="IJ81"/>
      <c r="IK81"/>
      <c r="IL81"/>
      <c r="IM81"/>
      <c r="IN81"/>
      <c r="IO81"/>
      <c r="IP81"/>
      <c r="IQ81"/>
      <c r="IR81"/>
      <c r="IS81"/>
      <c r="IT81"/>
      <c r="IU81"/>
      <c r="IV81"/>
      <c r="IW81"/>
      <c r="IX81"/>
      <c r="IY81"/>
      <c r="IZ81"/>
      <c r="JA81"/>
      <c r="JB81"/>
      <c r="JC81"/>
      <c r="JD81"/>
      <c r="JE81"/>
      <c r="JF81"/>
      <c r="JG81"/>
      <c r="JH81"/>
      <c r="JI81"/>
      <c r="JJ81"/>
      <c r="JK81"/>
      <c r="JL81"/>
      <c r="JM81"/>
      <c r="JN81"/>
      <c r="JO81"/>
      <c r="JP81"/>
      <c r="JQ81"/>
      <c r="JR81"/>
      <c r="JS81"/>
      <c r="JT81"/>
      <c r="JU81"/>
      <c r="JV81"/>
      <c r="JW81"/>
      <c r="JX81"/>
      <c r="JY81"/>
      <c r="JZ81"/>
      <c r="KA81"/>
      <c r="KB81"/>
      <c r="KC81"/>
      <c r="KD81"/>
      <c r="KE81"/>
      <c r="KF81"/>
      <c r="KG81"/>
      <c r="KH81"/>
      <c r="KI81"/>
      <c r="KJ81"/>
      <c r="KK81"/>
      <c r="KL81"/>
      <c r="KM81"/>
      <c r="KN81"/>
      <c r="KO81"/>
      <c r="KP81"/>
      <c r="KQ81"/>
      <c r="KR81"/>
      <c r="KS81"/>
    </row>
    <row r="82" spans="1:305" ht="29.1" customHeight="1" x14ac:dyDescent="0.25">
      <c r="A82" s="100"/>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c r="HB82"/>
      <c r="HC82"/>
      <c r="HD82"/>
      <c r="HE82"/>
      <c r="HF82"/>
      <c r="HG82"/>
      <c r="HH82"/>
      <c r="HI82"/>
      <c r="HJ82"/>
      <c r="HK82"/>
      <c r="HL82"/>
      <c r="HM82"/>
      <c r="HN82"/>
      <c r="HO82"/>
      <c r="HP82"/>
      <c r="HQ82"/>
      <c r="HR82"/>
      <c r="HS82"/>
      <c r="HT82"/>
      <c r="HU82"/>
      <c r="HV82"/>
      <c r="HW82"/>
      <c r="HX82"/>
      <c r="HY82"/>
      <c r="HZ82"/>
      <c r="IA82"/>
      <c r="IB82"/>
      <c r="IC82"/>
      <c r="ID82"/>
      <c r="IE82"/>
      <c r="IF82"/>
      <c r="IG82"/>
      <c r="IH82"/>
      <c r="II82"/>
      <c r="IJ82"/>
      <c r="IK82"/>
      <c r="IL82"/>
      <c r="IM82"/>
      <c r="IN82"/>
      <c r="IO82"/>
      <c r="IP82"/>
      <c r="IQ82"/>
      <c r="IR82"/>
      <c r="IS82"/>
      <c r="IT82"/>
      <c r="IU82"/>
      <c r="IV82"/>
      <c r="IW82"/>
      <c r="IX82"/>
      <c r="IY82"/>
      <c r="IZ82"/>
      <c r="JA82"/>
      <c r="JB82"/>
      <c r="JC82"/>
      <c r="JD82"/>
      <c r="JE82"/>
      <c r="JF82"/>
      <c r="JG82"/>
      <c r="JH82"/>
      <c r="JI82"/>
      <c r="JJ82"/>
      <c r="JK82"/>
      <c r="JL82"/>
      <c r="JM82"/>
      <c r="JN82"/>
      <c r="JO82"/>
      <c r="JP82"/>
      <c r="JQ82"/>
      <c r="JR82"/>
      <c r="JS82"/>
      <c r="JT82"/>
      <c r="JU82"/>
      <c r="JV82"/>
      <c r="JW82"/>
      <c r="JX82"/>
      <c r="JY82"/>
      <c r="JZ82"/>
      <c r="KA82"/>
      <c r="KB82"/>
      <c r="KC82"/>
      <c r="KD82"/>
      <c r="KE82"/>
      <c r="KF82"/>
      <c r="KG82"/>
      <c r="KH82"/>
      <c r="KI82"/>
      <c r="KJ82"/>
      <c r="KK82"/>
      <c r="KL82"/>
      <c r="KM82"/>
      <c r="KN82"/>
      <c r="KO82"/>
      <c r="KP82"/>
      <c r="KQ82"/>
      <c r="KR82"/>
      <c r="KS82"/>
    </row>
    <row r="83" spans="1:305" ht="29.1" customHeight="1" x14ac:dyDescent="0.25">
      <c r="A83" s="100"/>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c r="HB83"/>
      <c r="HC83"/>
      <c r="HD83"/>
      <c r="HE83"/>
      <c r="HF83"/>
      <c r="HG83"/>
      <c r="HH83"/>
      <c r="HI83"/>
      <c r="HJ83"/>
      <c r="HK83"/>
      <c r="HL83"/>
      <c r="HM83"/>
      <c r="HN83"/>
      <c r="HO83"/>
      <c r="HP83"/>
      <c r="HQ83"/>
      <c r="HR83"/>
      <c r="HS83"/>
      <c r="HT83"/>
      <c r="HU83"/>
      <c r="HV83"/>
      <c r="HW83"/>
      <c r="HX83"/>
      <c r="HY83"/>
      <c r="HZ83"/>
      <c r="IA83"/>
      <c r="IB83"/>
      <c r="IC83"/>
      <c r="ID83"/>
      <c r="IE83"/>
      <c r="IF83"/>
      <c r="IG83"/>
      <c r="IH83"/>
      <c r="II83"/>
      <c r="IJ83"/>
      <c r="IK83"/>
      <c r="IL83"/>
      <c r="IM83"/>
      <c r="IN83"/>
      <c r="IO83"/>
      <c r="IP83"/>
      <c r="IQ83"/>
      <c r="IR83"/>
      <c r="IS83"/>
      <c r="IT83"/>
      <c r="IU83"/>
      <c r="IV83"/>
      <c r="IW83"/>
      <c r="IX83"/>
      <c r="IY83"/>
      <c r="IZ83"/>
      <c r="JA83"/>
      <c r="JB83"/>
      <c r="JC83"/>
      <c r="JD83"/>
      <c r="JE83"/>
      <c r="JF83"/>
      <c r="JG83"/>
      <c r="JH83"/>
      <c r="JI83"/>
      <c r="JJ83"/>
      <c r="JK83"/>
      <c r="JL83"/>
      <c r="JM83"/>
      <c r="JN83"/>
      <c r="JO83"/>
      <c r="JP83"/>
      <c r="JQ83"/>
      <c r="JR83"/>
      <c r="JS83"/>
      <c r="JT83"/>
      <c r="JU83"/>
      <c r="JV83"/>
      <c r="JW83"/>
      <c r="JX83"/>
      <c r="JY83"/>
      <c r="JZ83"/>
      <c r="KA83"/>
      <c r="KB83"/>
      <c r="KC83"/>
      <c r="KD83"/>
      <c r="KE83"/>
      <c r="KF83"/>
      <c r="KG83"/>
      <c r="KH83"/>
      <c r="KI83"/>
      <c r="KJ83"/>
      <c r="KK83"/>
      <c r="KL83"/>
      <c r="KM83"/>
      <c r="KN83"/>
      <c r="KO83"/>
      <c r="KP83"/>
      <c r="KQ83"/>
      <c r="KR83"/>
      <c r="KS83"/>
    </row>
    <row r="84" spans="1:305" ht="29.1" customHeight="1" x14ac:dyDescent="0.25">
      <c r="A84" s="100"/>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c r="HB84"/>
      <c r="HC84"/>
      <c r="HD84"/>
      <c r="HE84"/>
      <c r="HF84"/>
      <c r="HG84"/>
      <c r="HH84"/>
      <c r="HI84"/>
      <c r="HJ84"/>
      <c r="HK84"/>
      <c r="HL84"/>
      <c r="HM84"/>
      <c r="HN84"/>
      <c r="HO84"/>
      <c r="HP84"/>
      <c r="HQ84"/>
      <c r="HR84"/>
      <c r="HS84"/>
      <c r="HT84"/>
      <c r="HU84"/>
      <c r="HV84"/>
      <c r="HW84"/>
      <c r="HX84"/>
      <c r="HY84"/>
      <c r="HZ84"/>
      <c r="IA84"/>
      <c r="IB84"/>
      <c r="IC84"/>
      <c r="ID84"/>
      <c r="IE84"/>
      <c r="IF84"/>
      <c r="IG84"/>
      <c r="IH84"/>
      <c r="II84"/>
      <c r="IJ84"/>
      <c r="IK84"/>
      <c r="IL84"/>
      <c r="IM84"/>
      <c r="IN84"/>
      <c r="IO84"/>
      <c r="IP84"/>
      <c r="IQ84"/>
      <c r="IR84"/>
      <c r="IS84"/>
      <c r="IT84"/>
      <c r="IU84"/>
      <c r="IV84"/>
      <c r="IW84"/>
      <c r="IX84"/>
      <c r="IY84"/>
      <c r="IZ84"/>
      <c r="JA84"/>
      <c r="JB84"/>
      <c r="JC84"/>
      <c r="JD84"/>
      <c r="JE84"/>
      <c r="JF84"/>
      <c r="JG84"/>
      <c r="JH84"/>
      <c r="JI84"/>
      <c r="JJ84"/>
      <c r="JK84"/>
      <c r="JL84"/>
      <c r="JM84"/>
      <c r="JN84"/>
      <c r="JO84"/>
      <c r="JP84"/>
      <c r="JQ84"/>
      <c r="JR84"/>
      <c r="JS84"/>
      <c r="JT84"/>
      <c r="JU84"/>
      <c r="JV84"/>
      <c r="JW84"/>
      <c r="JX84"/>
      <c r="JY84"/>
      <c r="JZ84"/>
      <c r="KA84"/>
      <c r="KB84"/>
      <c r="KC84"/>
      <c r="KD84"/>
      <c r="KE84"/>
      <c r="KF84"/>
      <c r="KG84"/>
      <c r="KH84"/>
      <c r="KI84"/>
      <c r="KJ84"/>
      <c r="KK84"/>
      <c r="KL84"/>
      <c r="KM84"/>
      <c r="KN84"/>
      <c r="KO84"/>
      <c r="KP84"/>
      <c r="KQ84"/>
      <c r="KR84"/>
      <c r="KS84"/>
    </row>
    <row r="85" spans="1:305" ht="29.1" customHeight="1" x14ac:dyDescent="0.25">
      <c r="A85" s="100"/>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c r="HB85"/>
      <c r="HC85"/>
      <c r="HD85"/>
      <c r="HE85"/>
      <c r="HF85"/>
      <c r="HG85"/>
      <c r="HH85"/>
      <c r="HI85"/>
      <c r="HJ85"/>
      <c r="HK85"/>
      <c r="HL85"/>
      <c r="HM85"/>
      <c r="HN85"/>
      <c r="HO85"/>
      <c r="HP85"/>
      <c r="HQ85"/>
      <c r="HR85"/>
      <c r="HS85"/>
      <c r="HT85"/>
      <c r="HU85"/>
      <c r="HV85"/>
      <c r="HW85"/>
      <c r="HX85"/>
      <c r="HY85"/>
      <c r="HZ85"/>
      <c r="IA85"/>
      <c r="IB85"/>
      <c r="IC85"/>
      <c r="ID85"/>
      <c r="IE85"/>
      <c r="IF85"/>
      <c r="IG85"/>
      <c r="IH85"/>
      <c r="II85"/>
      <c r="IJ85"/>
      <c r="IK85"/>
      <c r="IL85"/>
      <c r="IM85"/>
      <c r="IN85"/>
      <c r="IO85"/>
      <c r="IP85"/>
      <c r="IQ85"/>
      <c r="IR85"/>
      <c r="IS85"/>
      <c r="IT85"/>
      <c r="IU85"/>
      <c r="IV85"/>
      <c r="IW85"/>
      <c r="IX85"/>
      <c r="IY85"/>
      <c r="IZ85"/>
      <c r="JA85"/>
      <c r="JB85"/>
      <c r="JC85"/>
      <c r="JD85"/>
      <c r="JE85"/>
      <c r="JF85"/>
      <c r="JG85"/>
      <c r="JH85"/>
      <c r="JI85"/>
      <c r="JJ85"/>
      <c r="JK85"/>
      <c r="JL85"/>
      <c r="JM85"/>
      <c r="JN85"/>
      <c r="JO85"/>
      <c r="JP85"/>
      <c r="JQ85"/>
      <c r="JR85"/>
      <c r="JS85"/>
      <c r="JT85"/>
      <c r="JU85"/>
      <c r="JV85"/>
      <c r="JW85"/>
      <c r="JX85"/>
      <c r="JY85"/>
      <c r="JZ85"/>
      <c r="KA85"/>
      <c r="KB85"/>
      <c r="KC85"/>
      <c r="KD85"/>
      <c r="KE85"/>
      <c r="KF85"/>
      <c r="KG85"/>
      <c r="KH85"/>
      <c r="KI85"/>
      <c r="KJ85"/>
      <c r="KK85"/>
      <c r="KL85"/>
      <c r="KM85"/>
      <c r="KN85"/>
      <c r="KO85"/>
      <c r="KP85"/>
      <c r="KQ85"/>
      <c r="KR85"/>
      <c r="KS85"/>
    </row>
    <row r="86" spans="1:305" ht="29.1" customHeight="1" x14ac:dyDescent="0.25">
      <c r="A86" s="100"/>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c r="HB86"/>
      <c r="HC86"/>
      <c r="HD86"/>
      <c r="HE86"/>
      <c r="HF86"/>
      <c r="HG86"/>
      <c r="HH86"/>
      <c r="HI86"/>
      <c r="HJ86"/>
      <c r="HK86"/>
      <c r="HL86"/>
      <c r="HM86"/>
      <c r="HN86"/>
      <c r="HO86"/>
      <c r="HP86"/>
      <c r="HQ86"/>
      <c r="HR86"/>
      <c r="HS86"/>
      <c r="HT86"/>
      <c r="HU86"/>
      <c r="HV86"/>
      <c r="HW86"/>
      <c r="HX86"/>
      <c r="HY86"/>
      <c r="HZ86"/>
      <c r="IA86"/>
      <c r="IB86"/>
      <c r="IC86"/>
      <c r="ID86"/>
      <c r="IE86"/>
      <c r="IF86"/>
      <c r="IG86"/>
      <c r="IH86"/>
      <c r="II86"/>
      <c r="IJ86"/>
      <c r="IK86"/>
      <c r="IL86"/>
      <c r="IM86"/>
      <c r="IN86"/>
      <c r="IO86"/>
      <c r="IP86"/>
      <c r="IQ86"/>
      <c r="IR86"/>
      <c r="IS86"/>
      <c r="IT86"/>
      <c r="IU86"/>
      <c r="IV86"/>
      <c r="IW86"/>
      <c r="IX86"/>
      <c r="IY86"/>
      <c r="IZ86"/>
      <c r="JA86"/>
      <c r="JB86"/>
      <c r="JC86"/>
      <c r="JD86"/>
      <c r="JE86"/>
      <c r="JF86"/>
      <c r="JG86"/>
      <c r="JH86"/>
      <c r="JI86"/>
      <c r="JJ86"/>
      <c r="JK86"/>
      <c r="JL86"/>
      <c r="JM86"/>
      <c r="JN86"/>
      <c r="JO86"/>
      <c r="JP86"/>
      <c r="JQ86"/>
      <c r="JR86"/>
      <c r="JS86"/>
      <c r="JT86"/>
      <c r="JU86"/>
      <c r="JV86"/>
      <c r="JW86"/>
      <c r="JX86"/>
      <c r="JY86"/>
      <c r="JZ86"/>
      <c r="KA86"/>
      <c r="KB86"/>
      <c r="KC86"/>
      <c r="KD86"/>
      <c r="KE86"/>
      <c r="KF86"/>
      <c r="KG86"/>
      <c r="KH86"/>
      <c r="KI86"/>
      <c r="KJ86"/>
      <c r="KK86"/>
      <c r="KL86"/>
      <c r="KM86"/>
      <c r="KN86"/>
      <c r="KO86"/>
      <c r="KP86"/>
      <c r="KQ86"/>
      <c r="KR86"/>
      <c r="KS86"/>
    </row>
    <row r="87" spans="1:305" ht="29.1" customHeight="1" x14ac:dyDescent="0.25">
      <c r="A87" s="100"/>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c r="HB87"/>
      <c r="HC87"/>
      <c r="HD87"/>
      <c r="HE87"/>
      <c r="HF87"/>
      <c r="HG87"/>
      <c r="HH87"/>
      <c r="HI87"/>
      <c r="HJ87"/>
      <c r="HK87"/>
      <c r="HL87"/>
      <c r="HM87"/>
      <c r="HN87"/>
      <c r="HO87"/>
      <c r="HP87"/>
      <c r="HQ87"/>
      <c r="HR87"/>
      <c r="HS87"/>
      <c r="HT87"/>
      <c r="HU87"/>
      <c r="HV87"/>
      <c r="HW87"/>
      <c r="HX87"/>
      <c r="HY87"/>
      <c r="HZ87"/>
      <c r="IA87"/>
      <c r="IB87"/>
      <c r="IC87"/>
      <c r="ID87"/>
      <c r="IE87"/>
      <c r="IF87"/>
      <c r="IG87"/>
      <c r="IH87"/>
      <c r="II87"/>
      <c r="IJ87"/>
      <c r="IK87"/>
      <c r="IL87"/>
      <c r="IM87"/>
      <c r="IN87"/>
      <c r="IO87"/>
      <c r="IP87"/>
      <c r="IQ87"/>
      <c r="IR87"/>
      <c r="IS87"/>
      <c r="IT87"/>
      <c r="IU87"/>
      <c r="IV87"/>
      <c r="IW87"/>
      <c r="IX87"/>
      <c r="IY87"/>
      <c r="IZ87"/>
      <c r="JA87"/>
      <c r="JB87"/>
      <c r="JC87"/>
      <c r="JD87"/>
      <c r="JE87"/>
      <c r="JF87"/>
      <c r="JG87"/>
      <c r="JH87"/>
      <c r="JI87"/>
      <c r="JJ87"/>
      <c r="JK87"/>
      <c r="JL87"/>
      <c r="JM87"/>
      <c r="JN87"/>
      <c r="JO87"/>
      <c r="JP87"/>
      <c r="JQ87"/>
      <c r="JR87"/>
      <c r="JS87"/>
      <c r="JT87"/>
      <c r="JU87"/>
      <c r="JV87"/>
      <c r="JW87"/>
      <c r="JX87"/>
      <c r="JY87"/>
      <c r="JZ87"/>
      <c r="KA87"/>
      <c r="KB87"/>
      <c r="KC87"/>
      <c r="KD87"/>
      <c r="KE87"/>
      <c r="KF87"/>
      <c r="KG87"/>
      <c r="KH87"/>
      <c r="KI87"/>
      <c r="KJ87"/>
      <c r="KK87"/>
      <c r="KL87"/>
      <c r="KM87"/>
      <c r="KN87"/>
      <c r="KO87"/>
      <c r="KP87"/>
      <c r="KQ87"/>
      <c r="KR87"/>
      <c r="KS87"/>
    </row>
    <row r="88" spans="1:305" ht="29.1" customHeight="1" x14ac:dyDescent="0.25">
      <c r="A88" s="100"/>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c r="HB88"/>
      <c r="HC88"/>
      <c r="HD88"/>
      <c r="HE88"/>
      <c r="HF88"/>
      <c r="HG88"/>
      <c r="HH88"/>
      <c r="HI88"/>
      <c r="HJ88"/>
      <c r="HK88"/>
      <c r="HL88"/>
      <c r="HM88"/>
      <c r="HN88"/>
      <c r="HO88"/>
      <c r="HP88"/>
      <c r="HQ88"/>
      <c r="HR88"/>
      <c r="HS88"/>
      <c r="HT88"/>
      <c r="HU88"/>
      <c r="HV88"/>
      <c r="HW88"/>
      <c r="HX88"/>
      <c r="HY88"/>
      <c r="HZ88"/>
      <c r="IA88"/>
      <c r="IB88"/>
      <c r="IC88"/>
      <c r="ID88"/>
      <c r="IE88"/>
      <c r="IF88"/>
      <c r="IG88"/>
      <c r="IH88"/>
      <c r="II88"/>
      <c r="IJ88"/>
      <c r="IK88"/>
      <c r="IL88"/>
      <c r="IM88"/>
      <c r="IN88"/>
      <c r="IO88"/>
      <c r="IP88"/>
      <c r="IQ88"/>
      <c r="IR88"/>
      <c r="IS88"/>
      <c r="IT88"/>
      <c r="IU88"/>
      <c r="IV88"/>
      <c r="IW88"/>
      <c r="IX88"/>
      <c r="IY88"/>
      <c r="IZ88"/>
      <c r="JA88"/>
      <c r="JB88"/>
      <c r="JC88"/>
      <c r="JD88"/>
      <c r="JE88"/>
      <c r="JF88"/>
      <c r="JG88"/>
      <c r="JH88"/>
      <c r="JI88"/>
      <c r="JJ88"/>
      <c r="JK88"/>
      <c r="JL88"/>
      <c r="JM88"/>
      <c r="JN88"/>
      <c r="JO88"/>
      <c r="JP88"/>
      <c r="JQ88"/>
      <c r="JR88"/>
      <c r="JS88"/>
      <c r="JT88"/>
      <c r="JU88"/>
      <c r="JV88"/>
      <c r="JW88"/>
      <c r="JX88"/>
      <c r="JY88"/>
      <c r="JZ88"/>
      <c r="KA88"/>
      <c r="KB88"/>
      <c r="KC88"/>
      <c r="KD88"/>
      <c r="KE88"/>
      <c r="KF88"/>
      <c r="KG88"/>
      <c r="KH88"/>
      <c r="KI88"/>
      <c r="KJ88"/>
      <c r="KK88"/>
      <c r="KL88"/>
      <c r="KM88"/>
      <c r="KN88"/>
      <c r="KO88"/>
      <c r="KP88"/>
      <c r="KQ88"/>
      <c r="KR88"/>
      <c r="KS88"/>
    </row>
    <row r="89" spans="1:305" ht="29.1" customHeight="1" x14ac:dyDescent="0.25">
      <c r="A89" s="100"/>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c r="HB89"/>
      <c r="HC89"/>
      <c r="HD89"/>
      <c r="HE89"/>
      <c r="HF89"/>
      <c r="HG89"/>
      <c r="HH89"/>
      <c r="HI89"/>
      <c r="HJ89"/>
      <c r="HK89"/>
      <c r="HL89"/>
      <c r="HM89"/>
      <c r="HN89"/>
      <c r="HO89"/>
      <c r="HP89"/>
      <c r="HQ89"/>
      <c r="HR89"/>
      <c r="HS89"/>
      <c r="HT89"/>
      <c r="HU89"/>
      <c r="HV89"/>
      <c r="HW89"/>
      <c r="HX89"/>
      <c r="HY89"/>
      <c r="HZ89"/>
      <c r="IA89"/>
      <c r="IB89"/>
      <c r="IC89"/>
      <c r="ID89"/>
      <c r="IE89"/>
      <c r="IF89"/>
      <c r="IG89"/>
      <c r="IH89"/>
      <c r="II89"/>
      <c r="IJ89"/>
      <c r="IK89"/>
      <c r="IL89"/>
      <c r="IM89"/>
      <c r="IN89"/>
      <c r="IO89"/>
      <c r="IP89"/>
      <c r="IQ89"/>
      <c r="IR89"/>
      <c r="IS89"/>
      <c r="IT89"/>
      <c r="IU89"/>
      <c r="IV89"/>
      <c r="IW89"/>
      <c r="IX89"/>
      <c r="IY89"/>
      <c r="IZ89"/>
      <c r="JA89"/>
      <c r="JB89"/>
      <c r="JC89"/>
      <c r="JD89"/>
      <c r="JE89"/>
      <c r="JF89"/>
      <c r="JG89"/>
      <c r="JH89"/>
      <c r="JI89"/>
      <c r="JJ89"/>
      <c r="JK89"/>
      <c r="JL89"/>
      <c r="JM89"/>
      <c r="JN89"/>
      <c r="JO89"/>
      <c r="JP89"/>
      <c r="JQ89"/>
      <c r="JR89"/>
      <c r="JS89"/>
      <c r="JT89"/>
      <c r="JU89"/>
      <c r="JV89"/>
      <c r="JW89"/>
      <c r="JX89"/>
      <c r="JY89"/>
      <c r="JZ89"/>
      <c r="KA89"/>
      <c r="KB89"/>
      <c r="KC89"/>
      <c r="KD89"/>
      <c r="KE89"/>
      <c r="KF89"/>
      <c r="KG89"/>
      <c r="KH89"/>
      <c r="KI89"/>
      <c r="KJ89"/>
      <c r="KK89"/>
      <c r="KL89"/>
      <c r="KM89"/>
      <c r="KN89"/>
      <c r="KO89"/>
      <c r="KP89"/>
      <c r="KQ89"/>
      <c r="KR89"/>
      <c r="KS89"/>
    </row>
    <row r="90" spans="1:305" ht="29.1" customHeight="1" x14ac:dyDescent="0.25">
      <c r="A90" s="10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c r="HB90"/>
      <c r="HC90"/>
      <c r="HD90"/>
      <c r="HE90"/>
      <c r="HF90"/>
      <c r="HG90"/>
      <c r="HH90"/>
      <c r="HI90"/>
      <c r="HJ90"/>
      <c r="HK90"/>
      <c r="HL90"/>
      <c r="HM90"/>
      <c r="HN90"/>
      <c r="HO90"/>
      <c r="HP90"/>
      <c r="HQ90"/>
      <c r="HR90"/>
      <c r="HS90"/>
      <c r="HT90"/>
      <c r="HU90"/>
      <c r="HV90"/>
      <c r="HW90"/>
      <c r="HX90"/>
      <c r="HY90"/>
      <c r="HZ90"/>
      <c r="IA90"/>
      <c r="IB90"/>
      <c r="IC90"/>
      <c r="ID90"/>
      <c r="IE90"/>
      <c r="IF90"/>
      <c r="IG90"/>
      <c r="IH90"/>
      <c r="II90"/>
      <c r="IJ90"/>
      <c r="IK90"/>
      <c r="IL90"/>
      <c r="IM90"/>
      <c r="IN90"/>
      <c r="IO90"/>
      <c r="IP90"/>
      <c r="IQ90"/>
      <c r="IR90"/>
      <c r="IS90"/>
      <c r="IT90"/>
      <c r="IU90"/>
      <c r="IV90"/>
      <c r="IW90"/>
      <c r="IX90"/>
      <c r="IY90"/>
      <c r="IZ90"/>
      <c r="JA90"/>
      <c r="JB90"/>
      <c r="JC90"/>
      <c r="JD90"/>
      <c r="JE90"/>
      <c r="JF90"/>
      <c r="JG90"/>
      <c r="JH90"/>
      <c r="JI90"/>
      <c r="JJ90"/>
      <c r="JK90"/>
      <c r="JL90"/>
      <c r="JM90"/>
      <c r="JN90"/>
      <c r="JO90"/>
      <c r="JP90"/>
      <c r="JQ90"/>
      <c r="JR90"/>
      <c r="JS90"/>
      <c r="JT90"/>
      <c r="JU90"/>
      <c r="JV90"/>
      <c r="JW90"/>
      <c r="JX90"/>
      <c r="JY90"/>
      <c r="JZ90"/>
      <c r="KA90"/>
      <c r="KB90"/>
      <c r="KC90"/>
      <c r="KD90"/>
      <c r="KE90"/>
      <c r="KF90"/>
      <c r="KG90"/>
      <c r="KH90"/>
      <c r="KI90"/>
      <c r="KJ90"/>
      <c r="KK90"/>
      <c r="KL90"/>
      <c r="KM90"/>
      <c r="KN90"/>
      <c r="KO90"/>
      <c r="KP90"/>
      <c r="KQ90"/>
      <c r="KR90"/>
      <c r="KS90"/>
    </row>
    <row r="91" spans="1:305" ht="29.1" customHeight="1" x14ac:dyDescent="0.25">
      <c r="A91" s="100"/>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c r="HB91"/>
      <c r="HC91"/>
      <c r="HD91"/>
      <c r="HE91"/>
      <c r="HF91"/>
      <c r="HG91"/>
      <c r="HH91"/>
      <c r="HI91"/>
      <c r="HJ91"/>
      <c r="HK91"/>
      <c r="HL91"/>
      <c r="HM91"/>
      <c r="HN91"/>
      <c r="HO91"/>
      <c r="HP91"/>
      <c r="HQ91"/>
      <c r="HR91"/>
      <c r="HS91"/>
      <c r="HT91"/>
      <c r="HU91"/>
      <c r="HV91"/>
      <c r="HW91"/>
      <c r="HX91"/>
      <c r="HY91"/>
      <c r="HZ91"/>
      <c r="IA91"/>
      <c r="IB91"/>
      <c r="IC91"/>
      <c r="ID91"/>
      <c r="IE91"/>
      <c r="IF91"/>
      <c r="IG91"/>
      <c r="IH91"/>
      <c r="II91"/>
      <c r="IJ91"/>
      <c r="IK91"/>
      <c r="IL91"/>
      <c r="IM91"/>
      <c r="IN91"/>
      <c r="IO91"/>
      <c r="IP91"/>
      <c r="IQ91"/>
      <c r="IR91"/>
      <c r="IS91"/>
      <c r="IT91"/>
      <c r="IU91"/>
      <c r="IV91"/>
      <c r="IW91"/>
      <c r="IX91"/>
      <c r="IY91"/>
      <c r="IZ91"/>
      <c r="JA91"/>
      <c r="JB91"/>
      <c r="JC91"/>
      <c r="JD91"/>
      <c r="JE91"/>
      <c r="JF91"/>
      <c r="JG91"/>
      <c r="JH91"/>
      <c r="JI91"/>
      <c r="JJ91"/>
      <c r="JK91"/>
      <c r="JL91"/>
      <c r="JM91"/>
      <c r="JN91"/>
      <c r="JO91"/>
      <c r="JP91"/>
      <c r="JQ91"/>
      <c r="JR91"/>
      <c r="JS91"/>
      <c r="JT91"/>
      <c r="JU91"/>
      <c r="JV91"/>
      <c r="JW91"/>
      <c r="JX91"/>
      <c r="JY91"/>
      <c r="JZ91"/>
      <c r="KA91"/>
      <c r="KB91"/>
      <c r="KC91"/>
      <c r="KD91"/>
      <c r="KE91"/>
      <c r="KF91"/>
      <c r="KG91"/>
      <c r="KH91"/>
      <c r="KI91"/>
      <c r="KJ91"/>
      <c r="KK91"/>
      <c r="KL91"/>
      <c r="KM91"/>
      <c r="KN91"/>
      <c r="KO91"/>
      <c r="KP91"/>
      <c r="KQ91"/>
      <c r="KR91"/>
      <c r="KS91"/>
    </row>
    <row r="92" spans="1:305" ht="29.1" customHeight="1" x14ac:dyDescent="0.25">
      <c r="A92" s="100"/>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c r="HB92"/>
      <c r="HC92"/>
      <c r="HD92"/>
      <c r="HE92"/>
      <c r="HF92"/>
      <c r="HG92"/>
      <c r="HH92"/>
      <c r="HI92"/>
      <c r="HJ92"/>
      <c r="HK92"/>
      <c r="HL92"/>
      <c r="HM92"/>
      <c r="HN92"/>
      <c r="HO92"/>
      <c r="HP92"/>
      <c r="HQ92"/>
      <c r="HR92"/>
      <c r="HS92"/>
      <c r="HT92"/>
      <c r="HU92"/>
      <c r="HV92"/>
      <c r="HW92"/>
      <c r="HX92"/>
      <c r="HY92"/>
      <c r="HZ92"/>
      <c r="IA92"/>
      <c r="IB92"/>
      <c r="IC92"/>
      <c r="ID92"/>
      <c r="IE92"/>
      <c r="IF92"/>
      <c r="IG92"/>
      <c r="IH92"/>
      <c r="II92"/>
      <c r="IJ92"/>
      <c r="IK92"/>
      <c r="IL92"/>
      <c r="IM92"/>
      <c r="IN92"/>
      <c r="IO92"/>
      <c r="IP92"/>
      <c r="IQ92"/>
      <c r="IR92"/>
      <c r="IS92"/>
      <c r="IT92"/>
      <c r="IU92"/>
      <c r="IV92"/>
      <c r="IW92"/>
      <c r="IX92"/>
      <c r="IY92"/>
      <c r="IZ92"/>
      <c r="JA92"/>
      <c r="JB92"/>
      <c r="JC92"/>
      <c r="JD92"/>
      <c r="JE92"/>
      <c r="JF92"/>
      <c r="JG92"/>
      <c r="JH92"/>
      <c r="JI92"/>
      <c r="JJ92"/>
      <c r="JK92"/>
      <c r="JL92"/>
      <c r="JM92"/>
      <c r="JN92"/>
      <c r="JO92"/>
      <c r="JP92"/>
      <c r="JQ92"/>
      <c r="JR92"/>
      <c r="JS92"/>
      <c r="JT92"/>
      <c r="JU92"/>
      <c r="JV92"/>
      <c r="JW92"/>
      <c r="JX92"/>
      <c r="JY92"/>
      <c r="JZ92"/>
      <c r="KA92"/>
      <c r="KB92"/>
      <c r="KC92"/>
      <c r="KD92"/>
      <c r="KE92"/>
      <c r="KF92"/>
      <c r="KG92"/>
      <c r="KH92"/>
      <c r="KI92"/>
      <c r="KJ92"/>
      <c r="KK92"/>
      <c r="KL92"/>
      <c r="KM92"/>
      <c r="KN92"/>
      <c r="KO92"/>
      <c r="KP92"/>
      <c r="KQ92"/>
      <c r="KR92"/>
      <c r="KS92"/>
    </row>
    <row r="93" spans="1:305" ht="29.1" customHeight="1" x14ac:dyDescent="0.25">
      <c r="A93" s="100"/>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c r="HB93"/>
      <c r="HC93"/>
      <c r="HD93"/>
      <c r="HE93"/>
      <c r="HF93"/>
      <c r="HG93"/>
      <c r="HH93"/>
      <c r="HI93"/>
      <c r="HJ93"/>
      <c r="HK93"/>
      <c r="HL93"/>
      <c r="HM93"/>
      <c r="HN93"/>
      <c r="HO93"/>
      <c r="HP93"/>
      <c r="HQ93"/>
      <c r="HR93"/>
      <c r="HS93"/>
      <c r="HT93"/>
      <c r="HU93"/>
      <c r="HV93"/>
      <c r="HW93"/>
      <c r="HX93"/>
      <c r="HY93"/>
      <c r="HZ93"/>
      <c r="IA93"/>
      <c r="IB93"/>
      <c r="IC93"/>
      <c r="ID93"/>
      <c r="IE93"/>
      <c r="IF93"/>
      <c r="IG93"/>
      <c r="IH93"/>
      <c r="II93"/>
      <c r="IJ93"/>
      <c r="IK93"/>
      <c r="IL93"/>
      <c r="IM93"/>
      <c r="IN93"/>
      <c r="IO93"/>
      <c r="IP93"/>
      <c r="IQ93"/>
      <c r="IR93"/>
      <c r="IS93"/>
      <c r="IT93"/>
      <c r="IU93"/>
      <c r="IV93"/>
      <c r="IW93"/>
      <c r="IX93"/>
      <c r="IY93"/>
      <c r="IZ93"/>
      <c r="JA93"/>
      <c r="JB93"/>
      <c r="JC93"/>
      <c r="JD93"/>
      <c r="JE93"/>
      <c r="JF93"/>
      <c r="JG93"/>
      <c r="JH93"/>
      <c r="JI93"/>
      <c r="JJ93"/>
      <c r="JK93"/>
      <c r="JL93"/>
      <c r="JM93"/>
      <c r="JN93"/>
      <c r="JO93"/>
      <c r="JP93"/>
      <c r="JQ93"/>
      <c r="JR93"/>
      <c r="JS93"/>
      <c r="JT93"/>
      <c r="JU93"/>
      <c r="JV93"/>
      <c r="JW93"/>
      <c r="JX93"/>
      <c r="JY93"/>
      <c r="JZ93"/>
      <c r="KA93"/>
      <c r="KB93"/>
      <c r="KC93"/>
      <c r="KD93"/>
      <c r="KE93"/>
      <c r="KF93"/>
      <c r="KG93"/>
      <c r="KH93"/>
      <c r="KI93"/>
      <c r="KJ93"/>
      <c r="KK93"/>
      <c r="KL93"/>
      <c r="KM93"/>
      <c r="KN93"/>
      <c r="KO93"/>
      <c r="KP93"/>
      <c r="KQ93"/>
      <c r="KR93"/>
      <c r="KS93"/>
    </row>
    <row r="94" spans="1:305" ht="29.1" customHeight="1" x14ac:dyDescent="0.25">
      <c r="A94" s="100"/>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c r="HB94"/>
      <c r="HC94"/>
      <c r="HD94"/>
      <c r="HE94"/>
      <c r="HF94"/>
      <c r="HG94"/>
      <c r="HH94"/>
      <c r="HI94"/>
      <c r="HJ94"/>
      <c r="HK94"/>
      <c r="HL94"/>
      <c r="HM94"/>
      <c r="HN94"/>
      <c r="HO94"/>
      <c r="HP94"/>
      <c r="HQ94"/>
      <c r="HR94"/>
      <c r="HS94"/>
      <c r="HT94"/>
      <c r="HU94"/>
      <c r="HV94"/>
      <c r="HW94"/>
      <c r="HX94"/>
      <c r="HY94"/>
      <c r="HZ94"/>
      <c r="IA94"/>
      <c r="IB94"/>
      <c r="IC94"/>
      <c r="ID94"/>
      <c r="IE94"/>
      <c r="IF94"/>
      <c r="IG94"/>
      <c r="IH94"/>
      <c r="II94"/>
      <c r="IJ94"/>
      <c r="IK94"/>
      <c r="IL94"/>
      <c r="IM94"/>
      <c r="IN94"/>
      <c r="IO94"/>
      <c r="IP94"/>
      <c r="IQ94"/>
      <c r="IR94"/>
      <c r="IS94"/>
      <c r="IT94"/>
      <c r="IU94"/>
      <c r="IV94"/>
      <c r="IW94"/>
      <c r="IX94"/>
      <c r="IY94"/>
      <c r="IZ94"/>
      <c r="JA94"/>
      <c r="JB94"/>
      <c r="JC94"/>
      <c r="JD94"/>
      <c r="JE94"/>
      <c r="JF94"/>
      <c r="JG94"/>
      <c r="JH94"/>
      <c r="JI94"/>
      <c r="JJ94"/>
      <c r="JK94"/>
      <c r="JL94"/>
      <c r="JM94"/>
      <c r="JN94"/>
      <c r="JO94"/>
      <c r="JP94"/>
      <c r="JQ94"/>
      <c r="JR94"/>
      <c r="JS94"/>
      <c r="JT94"/>
      <c r="JU94"/>
      <c r="JV94"/>
      <c r="JW94"/>
      <c r="JX94"/>
      <c r="JY94"/>
      <c r="JZ94"/>
      <c r="KA94"/>
      <c r="KB94"/>
      <c r="KC94"/>
      <c r="KD94"/>
      <c r="KE94"/>
      <c r="KF94"/>
      <c r="KG94"/>
      <c r="KH94"/>
      <c r="KI94"/>
      <c r="KJ94"/>
      <c r="KK94"/>
      <c r="KL94"/>
      <c r="KM94"/>
      <c r="KN94"/>
      <c r="KO94"/>
      <c r="KP94"/>
      <c r="KQ94"/>
      <c r="KR94"/>
      <c r="KS94"/>
    </row>
    <row r="95" spans="1:305" ht="29.1" customHeight="1" x14ac:dyDescent="0.25">
      <c r="A95" s="100"/>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c r="HB95"/>
      <c r="HC95"/>
      <c r="HD95"/>
      <c r="HE95"/>
      <c r="HF95"/>
      <c r="HG95"/>
      <c r="HH95"/>
      <c r="HI95"/>
      <c r="HJ95"/>
      <c r="HK95"/>
      <c r="HL95"/>
      <c r="HM95"/>
      <c r="HN95"/>
      <c r="HO95"/>
      <c r="HP95"/>
      <c r="HQ95"/>
      <c r="HR95"/>
      <c r="HS95"/>
      <c r="HT95"/>
      <c r="HU95"/>
      <c r="HV95"/>
      <c r="HW95"/>
      <c r="HX95"/>
      <c r="HY95"/>
      <c r="HZ95"/>
      <c r="IA95"/>
      <c r="IB95"/>
      <c r="IC95"/>
      <c r="ID95"/>
      <c r="IE95"/>
      <c r="IF95"/>
      <c r="IG95"/>
      <c r="IH95"/>
      <c r="II95"/>
      <c r="IJ95"/>
      <c r="IK95"/>
      <c r="IL95"/>
      <c r="IM95"/>
      <c r="IN95"/>
      <c r="IO95"/>
      <c r="IP95"/>
      <c r="IQ95"/>
      <c r="IR95"/>
      <c r="IS95"/>
      <c r="IT95"/>
      <c r="IU95"/>
      <c r="IV95"/>
      <c r="IW95"/>
      <c r="IX95"/>
      <c r="IY95"/>
      <c r="IZ95"/>
      <c r="JA95"/>
      <c r="JB95"/>
      <c r="JC95"/>
      <c r="JD95"/>
      <c r="JE95"/>
      <c r="JF95"/>
      <c r="JG95"/>
      <c r="JH95"/>
      <c r="JI95"/>
      <c r="JJ95"/>
      <c r="JK95"/>
      <c r="JL95"/>
      <c r="JM95"/>
      <c r="JN95"/>
      <c r="JO95"/>
      <c r="JP95"/>
      <c r="JQ95"/>
      <c r="JR95"/>
      <c r="JS95"/>
      <c r="JT95"/>
      <c r="JU95"/>
      <c r="JV95"/>
      <c r="JW95"/>
      <c r="JX95"/>
      <c r="JY95"/>
      <c r="JZ95"/>
      <c r="KA95"/>
      <c r="KB95"/>
      <c r="KC95"/>
      <c r="KD95"/>
      <c r="KE95"/>
      <c r="KF95"/>
      <c r="KG95"/>
      <c r="KH95"/>
      <c r="KI95"/>
      <c r="KJ95"/>
      <c r="KK95"/>
      <c r="KL95"/>
      <c r="KM95"/>
      <c r="KN95"/>
      <c r="KO95"/>
      <c r="KP95"/>
      <c r="KQ95"/>
      <c r="KR95"/>
      <c r="KS95"/>
    </row>
    <row r="96" spans="1:305" ht="29.1" customHeight="1" x14ac:dyDescent="0.25">
      <c r="A96" s="100"/>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c r="HB96"/>
      <c r="HC96"/>
      <c r="HD96"/>
      <c r="HE96"/>
      <c r="HF96"/>
      <c r="HG96"/>
      <c r="HH96"/>
      <c r="HI96"/>
      <c r="HJ96"/>
      <c r="HK96"/>
      <c r="HL96"/>
      <c r="HM96"/>
      <c r="HN96"/>
      <c r="HO96"/>
      <c r="HP96"/>
      <c r="HQ96"/>
      <c r="HR96"/>
      <c r="HS96"/>
      <c r="HT96"/>
      <c r="HU96"/>
      <c r="HV96"/>
      <c r="HW96"/>
      <c r="HX96"/>
      <c r="HY96"/>
      <c r="HZ96"/>
      <c r="IA96"/>
      <c r="IB96"/>
      <c r="IC96"/>
      <c r="ID96"/>
      <c r="IE96"/>
      <c r="IF96"/>
      <c r="IG96"/>
      <c r="IH96"/>
      <c r="II96"/>
      <c r="IJ96"/>
      <c r="IK96"/>
      <c r="IL96"/>
      <c r="IM96"/>
      <c r="IN96"/>
      <c r="IO96"/>
      <c r="IP96"/>
      <c r="IQ96"/>
      <c r="IR96"/>
      <c r="IS96"/>
      <c r="IT96"/>
      <c r="IU96"/>
      <c r="IV96"/>
      <c r="IW96"/>
      <c r="IX96"/>
      <c r="IY96"/>
      <c r="IZ96"/>
      <c r="JA96"/>
      <c r="JB96"/>
      <c r="JC96"/>
      <c r="JD96"/>
      <c r="JE96"/>
      <c r="JF96"/>
      <c r="JG96"/>
      <c r="JH96"/>
      <c r="JI96"/>
      <c r="JJ96"/>
      <c r="JK96"/>
      <c r="JL96"/>
      <c r="JM96"/>
      <c r="JN96"/>
      <c r="JO96"/>
      <c r="JP96"/>
      <c r="JQ96"/>
      <c r="JR96"/>
      <c r="JS96"/>
      <c r="JT96"/>
      <c r="JU96"/>
      <c r="JV96"/>
      <c r="JW96"/>
      <c r="JX96"/>
      <c r="JY96"/>
      <c r="JZ96"/>
      <c r="KA96"/>
      <c r="KB96"/>
      <c r="KC96"/>
      <c r="KD96"/>
      <c r="KE96"/>
      <c r="KF96"/>
      <c r="KG96"/>
      <c r="KH96"/>
      <c r="KI96"/>
      <c r="KJ96"/>
      <c r="KK96"/>
      <c r="KL96"/>
      <c r="KM96"/>
      <c r="KN96"/>
      <c r="KO96"/>
      <c r="KP96"/>
      <c r="KQ96"/>
      <c r="KR96"/>
      <c r="KS96"/>
    </row>
    <row r="97" spans="1:305" ht="29.1" customHeight="1" x14ac:dyDescent="0.25">
      <c r="A97" s="100"/>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c r="HB97"/>
      <c r="HC97"/>
      <c r="HD97"/>
      <c r="HE97"/>
      <c r="HF97"/>
      <c r="HG97"/>
      <c r="HH97"/>
      <c r="HI97"/>
      <c r="HJ97"/>
      <c r="HK97"/>
      <c r="HL97"/>
      <c r="HM97"/>
      <c r="HN97"/>
      <c r="HO97"/>
      <c r="HP97"/>
      <c r="HQ97"/>
      <c r="HR97"/>
      <c r="HS97"/>
      <c r="HT97"/>
      <c r="HU97"/>
      <c r="HV97"/>
      <c r="HW97"/>
      <c r="HX97"/>
      <c r="HY97"/>
      <c r="HZ97"/>
      <c r="IA97"/>
      <c r="IB97"/>
      <c r="IC97"/>
      <c r="ID97"/>
      <c r="IE97"/>
      <c r="IF97"/>
      <c r="IG97"/>
      <c r="IH97"/>
      <c r="II97"/>
      <c r="IJ97"/>
      <c r="IK97"/>
      <c r="IL97"/>
      <c r="IM97"/>
      <c r="IN97"/>
      <c r="IO97"/>
      <c r="IP97"/>
      <c r="IQ97"/>
      <c r="IR97"/>
      <c r="IS97"/>
      <c r="IT97"/>
      <c r="IU97"/>
      <c r="IV97"/>
      <c r="IW97"/>
      <c r="IX97"/>
      <c r="IY97"/>
      <c r="IZ97"/>
      <c r="JA97"/>
      <c r="JB97"/>
      <c r="JC97"/>
      <c r="JD97"/>
      <c r="JE97"/>
      <c r="JF97"/>
      <c r="JG97"/>
      <c r="JH97"/>
      <c r="JI97"/>
      <c r="JJ97"/>
      <c r="JK97"/>
      <c r="JL97"/>
      <c r="JM97"/>
      <c r="JN97"/>
      <c r="JO97"/>
      <c r="JP97"/>
      <c r="JQ97"/>
      <c r="JR97"/>
      <c r="JS97"/>
      <c r="JT97"/>
      <c r="JU97"/>
      <c r="JV97"/>
      <c r="JW97"/>
      <c r="JX97"/>
      <c r="JY97"/>
      <c r="JZ97"/>
      <c r="KA97"/>
      <c r="KB97"/>
      <c r="KC97"/>
      <c r="KD97"/>
      <c r="KE97"/>
      <c r="KF97"/>
      <c r="KG97"/>
      <c r="KH97"/>
      <c r="KI97"/>
      <c r="KJ97"/>
      <c r="KK97"/>
      <c r="KL97"/>
      <c r="KM97"/>
      <c r="KN97"/>
      <c r="KO97"/>
      <c r="KP97"/>
      <c r="KQ97"/>
      <c r="KR97"/>
      <c r="KS97"/>
    </row>
    <row r="98" spans="1:305" ht="29.1" customHeight="1" x14ac:dyDescent="0.25">
      <c r="A98" s="100"/>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c r="HB98"/>
      <c r="HC98"/>
      <c r="HD98"/>
      <c r="HE98"/>
      <c r="HF98"/>
      <c r="HG98"/>
      <c r="HH98"/>
      <c r="HI98"/>
      <c r="HJ98"/>
      <c r="HK98"/>
      <c r="HL98"/>
      <c r="HM98"/>
      <c r="HN98"/>
      <c r="HO98"/>
      <c r="HP98"/>
      <c r="HQ98"/>
      <c r="HR98"/>
      <c r="HS98"/>
      <c r="HT98"/>
      <c r="HU98"/>
      <c r="HV98"/>
      <c r="HW98"/>
      <c r="HX98"/>
      <c r="HY98"/>
      <c r="HZ98"/>
      <c r="IA98"/>
      <c r="IB98"/>
      <c r="IC98"/>
      <c r="ID98"/>
      <c r="IE98"/>
      <c r="IF98"/>
      <c r="IG98"/>
      <c r="IH98"/>
      <c r="II98"/>
      <c r="IJ98"/>
      <c r="IK98"/>
      <c r="IL98"/>
      <c r="IM98"/>
      <c r="IN98"/>
      <c r="IO98"/>
      <c r="IP98"/>
      <c r="IQ98"/>
      <c r="IR98"/>
      <c r="IS98"/>
      <c r="IT98"/>
      <c r="IU98"/>
      <c r="IV98"/>
      <c r="IW98"/>
      <c r="IX98"/>
      <c r="IY98"/>
      <c r="IZ98"/>
      <c r="JA98"/>
      <c r="JB98"/>
      <c r="JC98"/>
      <c r="JD98"/>
      <c r="JE98"/>
      <c r="JF98"/>
      <c r="JG98"/>
      <c r="JH98"/>
      <c r="JI98"/>
      <c r="JJ98"/>
      <c r="JK98"/>
      <c r="JL98"/>
      <c r="JM98"/>
      <c r="JN98"/>
      <c r="JO98"/>
      <c r="JP98"/>
      <c r="JQ98"/>
      <c r="JR98"/>
      <c r="JS98"/>
      <c r="JT98"/>
      <c r="JU98"/>
      <c r="JV98"/>
      <c r="JW98"/>
      <c r="JX98"/>
      <c r="JY98"/>
      <c r="JZ98"/>
      <c r="KA98"/>
      <c r="KB98"/>
      <c r="KC98"/>
      <c r="KD98"/>
      <c r="KE98"/>
      <c r="KF98"/>
      <c r="KG98"/>
      <c r="KH98"/>
      <c r="KI98"/>
      <c r="KJ98"/>
      <c r="KK98"/>
      <c r="KL98"/>
      <c r="KM98"/>
      <c r="KN98"/>
      <c r="KO98"/>
      <c r="KP98"/>
      <c r="KQ98"/>
      <c r="KR98"/>
      <c r="KS98"/>
    </row>
    <row r="99" spans="1:305" ht="29.1" customHeight="1" x14ac:dyDescent="0.25">
      <c r="A99" s="100"/>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c r="HB99"/>
      <c r="HC99"/>
      <c r="HD99"/>
      <c r="HE99"/>
      <c r="HF99"/>
      <c r="HG99"/>
      <c r="HH99"/>
      <c r="HI99"/>
      <c r="HJ99"/>
      <c r="HK99"/>
      <c r="HL99"/>
      <c r="HM99"/>
      <c r="HN99"/>
      <c r="HO99"/>
      <c r="HP99"/>
      <c r="HQ99"/>
      <c r="HR99"/>
      <c r="HS99"/>
      <c r="HT99"/>
      <c r="HU99"/>
      <c r="HV99"/>
      <c r="HW99"/>
      <c r="HX99"/>
      <c r="HY99"/>
      <c r="HZ99"/>
      <c r="IA99"/>
      <c r="IB99"/>
      <c r="IC99"/>
      <c r="ID99"/>
      <c r="IE99"/>
      <c r="IF99"/>
      <c r="IG99"/>
      <c r="IH99"/>
      <c r="II99"/>
      <c r="IJ99"/>
      <c r="IK99"/>
      <c r="IL99"/>
      <c r="IM99"/>
      <c r="IN99"/>
      <c r="IO99"/>
      <c r="IP99"/>
      <c r="IQ99"/>
      <c r="IR99"/>
      <c r="IS99"/>
      <c r="IT99"/>
      <c r="IU99"/>
      <c r="IV99"/>
      <c r="IW99"/>
      <c r="IX99"/>
      <c r="IY99"/>
      <c r="IZ99"/>
      <c r="JA99"/>
      <c r="JB99"/>
      <c r="JC99"/>
      <c r="JD99"/>
      <c r="JE99"/>
      <c r="JF99"/>
      <c r="JG99"/>
      <c r="JH99"/>
      <c r="JI99"/>
      <c r="JJ99"/>
      <c r="JK99"/>
      <c r="JL99"/>
      <c r="JM99"/>
      <c r="JN99"/>
      <c r="JO99"/>
      <c r="JP99"/>
      <c r="JQ99"/>
      <c r="JR99"/>
      <c r="JS99"/>
      <c r="JT99"/>
      <c r="JU99"/>
      <c r="JV99"/>
      <c r="JW99"/>
      <c r="JX99"/>
      <c r="JY99"/>
      <c r="JZ99"/>
      <c r="KA99"/>
      <c r="KB99"/>
      <c r="KC99"/>
      <c r="KD99"/>
      <c r="KE99"/>
      <c r="KF99"/>
      <c r="KG99"/>
      <c r="KH99"/>
      <c r="KI99"/>
      <c r="KJ99"/>
      <c r="KK99"/>
      <c r="KL99"/>
      <c r="KM99"/>
      <c r="KN99"/>
      <c r="KO99"/>
      <c r="KP99"/>
      <c r="KQ99"/>
      <c r="KR99"/>
      <c r="KS99"/>
    </row>
    <row r="100" spans="1:305" ht="29.1" customHeight="1" x14ac:dyDescent="0.25">
      <c r="A100" s="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c r="HB100"/>
      <c r="HC100"/>
      <c r="HD100"/>
      <c r="HE100"/>
      <c r="HF100"/>
      <c r="HG100"/>
      <c r="HH100"/>
      <c r="HI100"/>
      <c r="HJ100"/>
      <c r="HK100"/>
      <c r="HL100"/>
      <c r="HM100"/>
      <c r="HN100"/>
      <c r="HO100"/>
      <c r="HP100"/>
      <c r="HQ100"/>
      <c r="HR100"/>
      <c r="HS100"/>
      <c r="HT100"/>
      <c r="HU100"/>
      <c r="HV100"/>
      <c r="HW100"/>
      <c r="HX100"/>
      <c r="HY100"/>
      <c r="HZ100"/>
      <c r="IA100"/>
      <c r="IB100"/>
      <c r="IC100"/>
      <c r="ID100"/>
      <c r="IE100"/>
      <c r="IF100"/>
      <c r="IG100"/>
      <c r="IH100"/>
      <c r="II100"/>
      <c r="IJ100"/>
      <c r="IK100"/>
      <c r="IL100"/>
      <c r="IM100"/>
      <c r="IN100"/>
      <c r="IO100"/>
      <c r="IP100"/>
      <c r="IQ100"/>
      <c r="IR100"/>
      <c r="IS100"/>
      <c r="IT100"/>
      <c r="IU100"/>
      <c r="IV100"/>
      <c r="IW100"/>
      <c r="IX100"/>
      <c r="IY100"/>
      <c r="IZ100"/>
      <c r="JA100"/>
      <c r="JB100"/>
      <c r="JC100"/>
      <c r="JD100"/>
      <c r="JE100"/>
      <c r="JF100"/>
      <c r="JG100"/>
      <c r="JH100"/>
      <c r="JI100"/>
      <c r="JJ100"/>
      <c r="JK100"/>
      <c r="JL100"/>
      <c r="JM100"/>
      <c r="JN100"/>
      <c r="JO100"/>
      <c r="JP100"/>
      <c r="JQ100"/>
      <c r="JR100"/>
      <c r="JS100"/>
      <c r="JT100"/>
      <c r="JU100"/>
      <c r="JV100"/>
      <c r="JW100"/>
      <c r="JX100"/>
      <c r="JY100"/>
      <c r="JZ100"/>
      <c r="KA100"/>
      <c r="KB100"/>
      <c r="KC100"/>
      <c r="KD100"/>
      <c r="KE100"/>
      <c r="KF100"/>
      <c r="KG100"/>
      <c r="KH100"/>
      <c r="KI100"/>
      <c r="KJ100"/>
      <c r="KK100"/>
      <c r="KL100"/>
      <c r="KM100"/>
      <c r="KN100"/>
      <c r="KO100"/>
      <c r="KP100"/>
      <c r="KQ100"/>
      <c r="KR100"/>
      <c r="KS100"/>
    </row>
    <row r="101" spans="1:305" ht="29.1" customHeight="1" x14ac:dyDescent="0.25">
      <c r="A101" s="100"/>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c r="HB101"/>
      <c r="HC101"/>
      <c r="HD101"/>
      <c r="HE101"/>
      <c r="HF101"/>
      <c r="HG101"/>
      <c r="HH101"/>
      <c r="HI101"/>
      <c r="HJ101"/>
      <c r="HK101"/>
      <c r="HL101"/>
      <c r="HM101"/>
      <c r="HN101"/>
      <c r="HO101"/>
      <c r="HP101"/>
      <c r="HQ101"/>
      <c r="HR101"/>
      <c r="HS101"/>
      <c r="HT101"/>
      <c r="HU101"/>
      <c r="HV101"/>
      <c r="HW101"/>
      <c r="HX101"/>
      <c r="HY101"/>
      <c r="HZ101"/>
      <c r="IA101"/>
      <c r="IB101"/>
      <c r="IC101"/>
      <c r="ID101"/>
      <c r="IE101"/>
      <c r="IF101"/>
      <c r="IG101"/>
      <c r="IH101"/>
      <c r="II101"/>
      <c r="IJ101"/>
      <c r="IK101"/>
      <c r="IL101"/>
      <c r="IM101"/>
      <c r="IN101"/>
      <c r="IO101"/>
      <c r="IP101"/>
      <c r="IQ101"/>
      <c r="IR101"/>
      <c r="IS101"/>
      <c r="IT101"/>
      <c r="IU101"/>
      <c r="IV101"/>
      <c r="IW101"/>
      <c r="IX101"/>
      <c r="IY101"/>
      <c r="IZ101"/>
      <c r="JA101"/>
      <c r="JB101"/>
      <c r="JC101"/>
      <c r="JD101"/>
      <c r="JE101"/>
      <c r="JF101"/>
      <c r="JG101"/>
      <c r="JH101"/>
      <c r="JI101"/>
      <c r="JJ101"/>
      <c r="JK101"/>
      <c r="JL101"/>
      <c r="JM101"/>
      <c r="JN101"/>
      <c r="JO101"/>
      <c r="JP101"/>
      <c r="JQ101"/>
      <c r="JR101"/>
      <c r="JS101"/>
      <c r="JT101"/>
      <c r="JU101"/>
      <c r="JV101"/>
      <c r="JW101"/>
      <c r="JX101"/>
      <c r="JY101"/>
      <c r="JZ101"/>
      <c r="KA101"/>
      <c r="KB101"/>
      <c r="KC101"/>
      <c r="KD101"/>
      <c r="KE101"/>
      <c r="KF101"/>
      <c r="KG101"/>
      <c r="KH101"/>
      <c r="KI101"/>
      <c r="KJ101"/>
      <c r="KK101"/>
      <c r="KL101"/>
      <c r="KM101"/>
      <c r="KN101"/>
      <c r="KO101"/>
      <c r="KP101"/>
      <c r="KQ101"/>
      <c r="KR101"/>
      <c r="KS101"/>
    </row>
    <row r="102" spans="1:305" ht="29.1" customHeight="1" x14ac:dyDescent="0.25">
      <c r="A102" s="100"/>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c r="HB102"/>
      <c r="HC102"/>
      <c r="HD102"/>
      <c r="HE102"/>
      <c r="HF102"/>
      <c r="HG102"/>
      <c r="HH102"/>
      <c r="HI102"/>
      <c r="HJ102"/>
      <c r="HK102"/>
      <c r="HL102"/>
      <c r="HM102"/>
      <c r="HN102"/>
      <c r="HO102"/>
      <c r="HP102"/>
      <c r="HQ102"/>
      <c r="HR102"/>
      <c r="HS102"/>
      <c r="HT102"/>
      <c r="HU102"/>
      <c r="HV102"/>
      <c r="HW102"/>
      <c r="HX102"/>
      <c r="HY102"/>
      <c r="HZ102"/>
      <c r="IA102"/>
      <c r="IB102"/>
      <c r="IC102"/>
      <c r="ID102"/>
      <c r="IE102"/>
      <c r="IF102"/>
      <c r="IG102"/>
      <c r="IH102"/>
      <c r="II102"/>
      <c r="IJ102"/>
      <c r="IK102"/>
      <c r="IL102"/>
      <c r="IM102"/>
      <c r="IN102"/>
      <c r="IO102"/>
      <c r="IP102"/>
      <c r="IQ102"/>
      <c r="IR102"/>
      <c r="IS102"/>
      <c r="IT102"/>
      <c r="IU102"/>
      <c r="IV102"/>
      <c r="IW102"/>
      <c r="IX102"/>
      <c r="IY102"/>
      <c r="IZ102"/>
      <c r="JA102"/>
      <c r="JB102"/>
      <c r="JC102"/>
      <c r="JD102"/>
      <c r="JE102"/>
      <c r="JF102"/>
      <c r="JG102"/>
      <c r="JH102"/>
      <c r="JI102"/>
      <c r="JJ102"/>
      <c r="JK102"/>
      <c r="JL102"/>
      <c r="JM102"/>
      <c r="JN102"/>
      <c r="JO102"/>
      <c r="JP102"/>
      <c r="JQ102"/>
      <c r="JR102"/>
      <c r="JS102"/>
      <c r="JT102"/>
      <c r="JU102"/>
      <c r="JV102"/>
      <c r="JW102"/>
      <c r="JX102"/>
      <c r="JY102"/>
      <c r="JZ102"/>
      <c r="KA102"/>
      <c r="KB102"/>
      <c r="KC102"/>
      <c r="KD102"/>
      <c r="KE102"/>
      <c r="KF102"/>
      <c r="KG102"/>
      <c r="KH102"/>
      <c r="KI102"/>
      <c r="KJ102"/>
      <c r="KK102"/>
      <c r="KL102"/>
      <c r="KM102"/>
      <c r="KN102"/>
      <c r="KO102"/>
      <c r="KP102"/>
      <c r="KQ102"/>
      <c r="KR102"/>
      <c r="KS102"/>
    </row>
    <row r="103" spans="1:305" ht="29.1" customHeight="1" x14ac:dyDescent="0.25">
      <c r="A103" s="100"/>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c r="HB103"/>
      <c r="HC103"/>
      <c r="HD103"/>
      <c r="HE103"/>
      <c r="HF103"/>
      <c r="HG103"/>
      <c r="HH103"/>
      <c r="HI103"/>
      <c r="HJ103"/>
      <c r="HK103"/>
      <c r="HL103"/>
      <c r="HM103"/>
      <c r="HN103"/>
      <c r="HO103"/>
      <c r="HP103"/>
      <c r="HQ103"/>
      <c r="HR103"/>
      <c r="HS103"/>
      <c r="HT103"/>
      <c r="HU103"/>
      <c r="HV103"/>
      <c r="HW103"/>
      <c r="HX103"/>
      <c r="HY103"/>
      <c r="HZ103"/>
      <c r="IA103"/>
      <c r="IB103"/>
      <c r="IC103"/>
      <c r="ID103"/>
      <c r="IE103"/>
      <c r="IF103"/>
      <c r="IG103"/>
      <c r="IH103"/>
      <c r="II103"/>
      <c r="IJ103"/>
      <c r="IK103"/>
      <c r="IL103"/>
      <c r="IM103"/>
      <c r="IN103"/>
      <c r="IO103"/>
      <c r="IP103"/>
      <c r="IQ103"/>
      <c r="IR103"/>
      <c r="IS103"/>
      <c r="IT103"/>
      <c r="IU103"/>
      <c r="IV103"/>
      <c r="IW103"/>
      <c r="IX103"/>
      <c r="IY103"/>
      <c r="IZ103"/>
      <c r="JA103"/>
      <c r="JB103"/>
      <c r="JC103"/>
      <c r="JD103"/>
      <c r="JE103"/>
      <c r="JF103"/>
      <c r="JG103"/>
      <c r="JH103"/>
      <c r="JI103"/>
      <c r="JJ103"/>
      <c r="JK103"/>
      <c r="JL103"/>
      <c r="JM103"/>
      <c r="JN103"/>
      <c r="JO103"/>
      <c r="JP103"/>
      <c r="JQ103"/>
      <c r="JR103"/>
      <c r="JS103"/>
      <c r="JT103"/>
      <c r="JU103"/>
      <c r="JV103"/>
      <c r="JW103"/>
      <c r="JX103"/>
      <c r="JY103"/>
      <c r="JZ103"/>
      <c r="KA103"/>
      <c r="KB103"/>
      <c r="KC103"/>
      <c r="KD103"/>
      <c r="KE103"/>
      <c r="KF103"/>
      <c r="KG103"/>
      <c r="KH103"/>
      <c r="KI103"/>
      <c r="KJ103"/>
      <c r="KK103"/>
      <c r="KL103"/>
      <c r="KM103"/>
      <c r="KN103"/>
      <c r="KO103"/>
      <c r="KP103"/>
      <c r="KQ103"/>
      <c r="KR103"/>
      <c r="KS103"/>
    </row>
    <row r="104" spans="1:305" ht="29.1" customHeight="1" x14ac:dyDescent="0.25">
      <c r="A104" s="100"/>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c r="HB104"/>
      <c r="HC104"/>
      <c r="HD104"/>
      <c r="HE104"/>
      <c r="HF104"/>
      <c r="HG104"/>
      <c r="HH104"/>
      <c r="HI104"/>
      <c r="HJ104"/>
      <c r="HK104"/>
      <c r="HL104"/>
      <c r="HM104"/>
      <c r="HN104"/>
      <c r="HO104"/>
      <c r="HP104"/>
      <c r="HQ104"/>
      <c r="HR104"/>
      <c r="HS104"/>
      <c r="HT104"/>
      <c r="HU104"/>
      <c r="HV104"/>
      <c r="HW104"/>
      <c r="HX104"/>
      <c r="HY104"/>
      <c r="HZ104"/>
      <c r="IA104"/>
      <c r="IB104"/>
      <c r="IC104"/>
      <c r="ID104"/>
      <c r="IE104"/>
      <c r="IF104"/>
      <c r="IG104"/>
      <c r="IH104"/>
      <c r="II104"/>
      <c r="IJ104"/>
      <c r="IK104"/>
      <c r="IL104"/>
      <c r="IM104"/>
      <c r="IN104"/>
      <c r="IO104"/>
      <c r="IP104"/>
      <c r="IQ104"/>
      <c r="IR104"/>
      <c r="IS104"/>
      <c r="IT104"/>
      <c r="IU104"/>
      <c r="IV104"/>
      <c r="IW104"/>
      <c r="IX104"/>
      <c r="IY104"/>
      <c r="IZ104"/>
      <c r="JA104"/>
      <c r="JB104"/>
      <c r="JC104"/>
      <c r="JD104"/>
      <c r="JE104"/>
      <c r="JF104"/>
      <c r="JG104"/>
      <c r="JH104"/>
      <c r="JI104"/>
      <c r="JJ104"/>
      <c r="JK104"/>
      <c r="JL104"/>
      <c r="JM104"/>
      <c r="JN104"/>
      <c r="JO104"/>
      <c r="JP104"/>
      <c r="JQ104"/>
      <c r="JR104"/>
      <c r="JS104"/>
      <c r="JT104"/>
      <c r="JU104"/>
      <c r="JV104"/>
      <c r="JW104"/>
      <c r="JX104"/>
      <c r="JY104"/>
      <c r="JZ104"/>
      <c r="KA104"/>
      <c r="KB104"/>
      <c r="KC104"/>
      <c r="KD104"/>
      <c r="KE104"/>
      <c r="KF104"/>
      <c r="KG104"/>
      <c r="KH104"/>
      <c r="KI104"/>
      <c r="KJ104"/>
      <c r="KK104"/>
      <c r="KL104"/>
      <c r="KM104"/>
      <c r="KN104"/>
      <c r="KO104"/>
      <c r="KP104"/>
      <c r="KQ104"/>
      <c r="KR104"/>
      <c r="KS104"/>
    </row>
    <row r="105" spans="1:305" ht="29.1" customHeight="1" x14ac:dyDescent="0.25">
      <c r="A105" s="100"/>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c r="IC105"/>
      <c r="ID105"/>
      <c r="IE105"/>
      <c r="IF105"/>
      <c r="IG105"/>
      <c r="IH105"/>
      <c r="II105"/>
      <c r="IJ105"/>
      <c r="IK105"/>
      <c r="IL105"/>
      <c r="IM105"/>
      <c r="IN105"/>
      <c r="IO105"/>
      <c r="IP105"/>
      <c r="IQ105"/>
      <c r="IR105"/>
      <c r="IS105"/>
      <c r="IT105"/>
      <c r="IU105"/>
      <c r="IV105"/>
      <c r="IW105"/>
      <c r="IX105"/>
      <c r="IY105"/>
      <c r="IZ105"/>
      <c r="JA105"/>
      <c r="JB105"/>
      <c r="JC105"/>
      <c r="JD105"/>
      <c r="JE105"/>
      <c r="JF105"/>
      <c r="JG105"/>
      <c r="JH105"/>
      <c r="JI105"/>
      <c r="JJ105"/>
      <c r="JK105"/>
      <c r="JL105"/>
      <c r="JM105"/>
      <c r="JN105"/>
      <c r="JO105"/>
      <c r="JP105"/>
      <c r="JQ105"/>
      <c r="JR105"/>
      <c r="JS105"/>
      <c r="JT105"/>
      <c r="JU105"/>
      <c r="JV105"/>
      <c r="JW105"/>
      <c r="JX105"/>
      <c r="JY105"/>
      <c r="JZ105"/>
      <c r="KA105"/>
      <c r="KB105"/>
      <c r="KC105"/>
      <c r="KD105"/>
      <c r="KE105"/>
      <c r="KF105"/>
      <c r="KG105"/>
      <c r="KH105"/>
      <c r="KI105"/>
      <c r="KJ105"/>
      <c r="KK105"/>
      <c r="KL105"/>
      <c r="KM105"/>
      <c r="KN105"/>
      <c r="KO105"/>
      <c r="KP105"/>
      <c r="KQ105"/>
      <c r="KR105"/>
      <c r="KS105"/>
    </row>
    <row r="106" spans="1:305" hidden="1" x14ac:dyDescent="0.25">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c r="HB106"/>
      <c r="HC106"/>
      <c r="HD106"/>
      <c r="HE106"/>
      <c r="HF106"/>
      <c r="HG106"/>
      <c r="HH106"/>
      <c r="HI106"/>
      <c r="HJ106"/>
      <c r="HK106"/>
      <c r="HL106"/>
      <c r="HM106"/>
      <c r="HN106"/>
      <c r="HO106"/>
      <c r="HP106"/>
      <c r="HQ106"/>
      <c r="HR106"/>
      <c r="HS106"/>
      <c r="HT106"/>
      <c r="HU106"/>
      <c r="HV106"/>
      <c r="HW106"/>
      <c r="HX106"/>
      <c r="HY106"/>
      <c r="HZ106"/>
      <c r="IA106"/>
      <c r="IB106"/>
      <c r="IC106"/>
      <c r="ID106"/>
      <c r="IE106"/>
      <c r="IF106"/>
      <c r="IG106"/>
      <c r="IH106"/>
      <c r="II106"/>
      <c r="IJ106"/>
      <c r="IK106"/>
      <c r="IL106"/>
      <c r="IM106"/>
      <c r="IN106"/>
      <c r="IO106"/>
      <c r="IP106"/>
      <c r="IQ106"/>
      <c r="IR106"/>
      <c r="IS106"/>
      <c r="IT106"/>
      <c r="IU106"/>
      <c r="IV106"/>
      <c r="IW106"/>
      <c r="IX106"/>
      <c r="IY106"/>
      <c r="IZ106"/>
      <c r="JA106"/>
      <c r="JB106"/>
      <c r="JC106"/>
      <c r="JD106"/>
      <c r="JE106"/>
      <c r="JF106"/>
      <c r="JG106"/>
      <c r="JH106"/>
      <c r="JI106"/>
      <c r="JJ106"/>
      <c r="JK106"/>
      <c r="JL106"/>
      <c r="JM106"/>
      <c r="JN106"/>
      <c r="JO106"/>
      <c r="JP106"/>
      <c r="JQ106"/>
      <c r="JR106"/>
      <c r="JS106"/>
      <c r="JT106"/>
      <c r="JU106"/>
      <c r="JV106"/>
      <c r="JW106"/>
      <c r="JX106"/>
      <c r="JY106"/>
      <c r="JZ106"/>
      <c r="KA106"/>
      <c r="KB106"/>
      <c r="KC106"/>
      <c r="KD106"/>
      <c r="KE106"/>
      <c r="KF106"/>
      <c r="KG106"/>
      <c r="KH106"/>
      <c r="KI106"/>
      <c r="KJ106"/>
      <c r="KK106"/>
      <c r="KL106"/>
      <c r="KM106"/>
      <c r="KN106"/>
      <c r="KO106"/>
      <c r="KP106"/>
      <c r="KQ106"/>
      <c r="KR106"/>
      <c r="KS106"/>
    </row>
    <row r="107" spans="1:305" hidden="1" x14ac:dyDescent="0.25">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c r="HB107"/>
      <c r="HC107"/>
      <c r="HD107"/>
      <c r="HE107"/>
      <c r="HF107"/>
      <c r="HG107"/>
      <c r="HH107"/>
      <c r="HI107"/>
      <c r="HJ107"/>
      <c r="HK107"/>
      <c r="HL107"/>
      <c r="HM107"/>
      <c r="HN107"/>
      <c r="HO107"/>
      <c r="HP107"/>
      <c r="HQ107"/>
      <c r="HR107"/>
      <c r="HS107"/>
      <c r="HT107"/>
      <c r="HU107"/>
      <c r="HV107"/>
      <c r="HW107"/>
      <c r="HX107"/>
      <c r="HY107"/>
      <c r="HZ107"/>
      <c r="IA107"/>
      <c r="IB107"/>
      <c r="IC107"/>
      <c r="ID107"/>
      <c r="IE107"/>
      <c r="IF107"/>
      <c r="IG107"/>
      <c r="IH107"/>
      <c r="II107"/>
      <c r="IJ107"/>
      <c r="IK107"/>
      <c r="IL107"/>
      <c r="IM107"/>
      <c r="IN107"/>
      <c r="IO107"/>
      <c r="IP107"/>
      <c r="IQ107"/>
      <c r="IR107"/>
      <c r="IS107"/>
      <c r="IT107"/>
      <c r="IU107"/>
      <c r="IV107"/>
      <c r="IW107"/>
      <c r="IX107"/>
      <c r="IY107"/>
      <c r="IZ107"/>
      <c r="JA107"/>
      <c r="JB107"/>
      <c r="JC107"/>
      <c r="JD107"/>
      <c r="JE107"/>
      <c r="JF107"/>
      <c r="JG107"/>
      <c r="JH107"/>
      <c r="JI107"/>
      <c r="JJ107"/>
      <c r="JK107"/>
      <c r="JL107"/>
      <c r="JM107"/>
      <c r="JN107"/>
      <c r="JO107"/>
      <c r="JP107"/>
      <c r="JQ107"/>
      <c r="JR107"/>
      <c r="JS107"/>
      <c r="JT107"/>
      <c r="JU107"/>
      <c r="JV107"/>
      <c r="JW107"/>
      <c r="JX107"/>
      <c r="JY107"/>
      <c r="JZ107"/>
      <c r="KA107"/>
      <c r="KB107"/>
      <c r="KC107"/>
      <c r="KD107"/>
      <c r="KE107"/>
      <c r="KF107"/>
      <c r="KG107"/>
      <c r="KH107"/>
      <c r="KI107"/>
      <c r="KJ107"/>
      <c r="KK107"/>
      <c r="KL107"/>
      <c r="KM107"/>
      <c r="KN107"/>
      <c r="KO107"/>
      <c r="KP107"/>
      <c r="KQ107"/>
      <c r="KR107"/>
      <c r="KS107"/>
    </row>
    <row r="108" spans="1:305" hidden="1" x14ac:dyDescent="0.25">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c r="HB108"/>
      <c r="HC108"/>
      <c r="HD108"/>
      <c r="HE108"/>
      <c r="HF108"/>
      <c r="HG108"/>
      <c r="HH108"/>
      <c r="HI108"/>
      <c r="HJ108"/>
      <c r="HK108"/>
      <c r="HL108"/>
      <c r="HM108"/>
      <c r="HN108"/>
      <c r="HO108"/>
      <c r="HP108"/>
      <c r="HQ108"/>
      <c r="HR108"/>
      <c r="HS108"/>
      <c r="HT108"/>
      <c r="HU108"/>
      <c r="HV108"/>
      <c r="HW108"/>
      <c r="HX108"/>
      <c r="HY108"/>
      <c r="HZ108"/>
      <c r="IA108"/>
      <c r="IB108"/>
      <c r="IC108"/>
      <c r="ID108"/>
      <c r="IE108"/>
      <c r="IF108"/>
      <c r="IG108"/>
      <c r="IH108"/>
      <c r="II108"/>
      <c r="IJ108"/>
      <c r="IK108"/>
      <c r="IL108"/>
      <c r="IM108"/>
      <c r="IN108"/>
      <c r="IO108"/>
      <c r="IP108"/>
      <c r="IQ108"/>
      <c r="IR108"/>
      <c r="IS108"/>
      <c r="IT108"/>
      <c r="IU108"/>
      <c r="IV108"/>
      <c r="IW108"/>
      <c r="IX108"/>
      <c r="IY108"/>
      <c r="IZ108"/>
      <c r="JA108"/>
      <c r="JB108"/>
      <c r="JC108"/>
      <c r="JD108"/>
      <c r="JE108"/>
      <c r="JF108"/>
      <c r="JG108"/>
      <c r="JH108"/>
      <c r="JI108"/>
      <c r="JJ108"/>
      <c r="JK108"/>
      <c r="JL108"/>
      <c r="JM108"/>
      <c r="JN108"/>
      <c r="JO108"/>
      <c r="JP108"/>
      <c r="JQ108"/>
      <c r="JR108"/>
      <c r="JS108"/>
      <c r="JT108"/>
      <c r="JU108"/>
      <c r="JV108"/>
      <c r="JW108"/>
      <c r="JX108"/>
      <c r="JY108"/>
      <c r="JZ108"/>
      <c r="KA108"/>
      <c r="KB108"/>
      <c r="KC108"/>
      <c r="KD108"/>
      <c r="KE108"/>
      <c r="KF108"/>
      <c r="KG108"/>
      <c r="KH108"/>
      <c r="KI108"/>
      <c r="KJ108"/>
      <c r="KK108"/>
      <c r="KL108"/>
      <c r="KM108"/>
      <c r="KN108"/>
      <c r="KO108"/>
      <c r="KP108"/>
      <c r="KQ108"/>
      <c r="KR108"/>
      <c r="KS108"/>
    </row>
    <row r="109" spans="1:305" hidden="1" x14ac:dyDescent="0.25">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c r="HB109"/>
      <c r="HC109"/>
      <c r="HD109"/>
      <c r="HE109"/>
      <c r="HF109"/>
      <c r="HG109"/>
      <c r="HH109"/>
      <c r="HI109"/>
      <c r="HJ109"/>
      <c r="HK109"/>
      <c r="HL109"/>
      <c r="HM109"/>
      <c r="HN109"/>
      <c r="HO109"/>
      <c r="HP109"/>
      <c r="HQ109"/>
      <c r="HR109"/>
      <c r="HS109"/>
      <c r="HT109"/>
      <c r="HU109"/>
      <c r="HV109"/>
      <c r="HW109"/>
      <c r="HX109"/>
      <c r="HY109"/>
      <c r="HZ109"/>
      <c r="IA109"/>
      <c r="IB109"/>
      <c r="IC109"/>
      <c r="ID109"/>
      <c r="IE109"/>
      <c r="IF109"/>
      <c r="IG109"/>
      <c r="IH109"/>
      <c r="II109"/>
      <c r="IJ109"/>
      <c r="IK109"/>
      <c r="IL109"/>
      <c r="IM109"/>
      <c r="IN109"/>
      <c r="IO109"/>
      <c r="IP109"/>
      <c r="IQ109"/>
      <c r="IR109"/>
      <c r="IS109"/>
      <c r="IT109"/>
      <c r="IU109"/>
      <c r="IV109"/>
      <c r="IW109"/>
      <c r="IX109"/>
      <c r="IY109"/>
      <c r="IZ109"/>
      <c r="JA109"/>
      <c r="JB109"/>
      <c r="JC109"/>
      <c r="JD109"/>
      <c r="JE109"/>
      <c r="JF109"/>
      <c r="JG109"/>
      <c r="JH109"/>
      <c r="JI109"/>
      <c r="JJ109"/>
      <c r="JK109"/>
      <c r="JL109"/>
      <c r="JM109"/>
      <c r="JN109"/>
      <c r="JO109"/>
      <c r="JP109"/>
      <c r="JQ109"/>
      <c r="JR109"/>
      <c r="JS109"/>
      <c r="JT109"/>
      <c r="JU109"/>
      <c r="JV109"/>
      <c r="JW109"/>
      <c r="JX109"/>
      <c r="JY109"/>
      <c r="JZ109"/>
      <c r="KA109"/>
      <c r="KB109"/>
      <c r="KC109"/>
      <c r="KD109"/>
      <c r="KE109"/>
      <c r="KF109"/>
      <c r="KG109"/>
      <c r="KH109"/>
      <c r="KI109"/>
      <c r="KJ109"/>
      <c r="KK109"/>
      <c r="KL109"/>
      <c r="KM109"/>
      <c r="KN109"/>
      <c r="KO109"/>
      <c r="KP109"/>
      <c r="KQ109"/>
      <c r="KR109"/>
      <c r="KS109"/>
    </row>
    <row r="110" spans="1:305" hidden="1" x14ac:dyDescent="0.25">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c r="HB110"/>
      <c r="HC110"/>
      <c r="HD110"/>
      <c r="HE110"/>
      <c r="HF110"/>
      <c r="HG110"/>
      <c r="HH110"/>
      <c r="HI110"/>
      <c r="HJ110"/>
      <c r="HK110"/>
      <c r="HL110"/>
      <c r="HM110"/>
      <c r="HN110"/>
      <c r="HO110"/>
      <c r="HP110"/>
      <c r="HQ110"/>
      <c r="HR110"/>
      <c r="HS110"/>
      <c r="HT110"/>
      <c r="HU110"/>
      <c r="HV110"/>
      <c r="HW110"/>
      <c r="HX110"/>
      <c r="HY110"/>
      <c r="HZ110"/>
      <c r="IA110"/>
      <c r="IB110"/>
      <c r="IC110"/>
      <c r="ID110"/>
      <c r="IE110"/>
      <c r="IF110"/>
      <c r="IG110"/>
      <c r="IH110"/>
      <c r="II110"/>
      <c r="IJ110"/>
      <c r="IK110"/>
      <c r="IL110"/>
      <c r="IM110"/>
      <c r="IN110"/>
      <c r="IO110"/>
      <c r="IP110"/>
      <c r="IQ110"/>
      <c r="IR110"/>
      <c r="IS110"/>
      <c r="IT110"/>
      <c r="IU110"/>
      <c r="IV110"/>
      <c r="IW110"/>
      <c r="IX110"/>
      <c r="IY110"/>
      <c r="IZ110"/>
      <c r="JA110"/>
      <c r="JB110"/>
      <c r="JC110"/>
      <c r="JD110"/>
      <c r="JE110"/>
      <c r="JF110"/>
      <c r="JG110"/>
      <c r="JH110"/>
      <c r="JI110"/>
      <c r="JJ110"/>
      <c r="JK110"/>
      <c r="JL110"/>
      <c r="JM110"/>
      <c r="JN110"/>
      <c r="JO110"/>
      <c r="JP110"/>
      <c r="JQ110"/>
      <c r="JR110"/>
      <c r="JS110"/>
      <c r="JT110"/>
      <c r="JU110"/>
      <c r="JV110"/>
      <c r="JW110"/>
      <c r="JX110"/>
      <c r="JY110"/>
      <c r="JZ110"/>
      <c r="KA110"/>
      <c r="KB110"/>
      <c r="KC110"/>
      <c r="KD110"/>
      <c r="KE110"/>
      <c r="KF110"/>
      <c r="KG110"/>
      <c r="KH110"/>
      <c r="KI110"/>
      <c r="KJ110"/>
      <c r="KK110"/>
      <c r="KL110"/>
      <c r="KM110"/>
      <c r="KN110"/>
      <c r="KO110"/>
      <c r="KP110"/>
      <c r="KQ110"/>
      <c r="KR110"/>
      <c r="KS110"/>
    </row>
    <row r="111" spans="1:305" hidden="1" x14ac:dyDescent="0.25">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c r="HB111"/>
      <c r="HC111"/>
      <c r="HD111"/>
      <c r="HE111"/>
      <c r="HF111"/>
      <c r="HG111"/>
      <c r="HH111"/>
      <c r="HI111"/>
      <c r="HJ111"/>
      <c r="HK111"/>
      <c r="HL111"/>
      <c r="HM111"/>
      <c r="HN111"/>
      <c r="HO111"/>
      <c r="HP111"/>
      <c r="HQ111"/>
      <c r="HR111"/>
      <c r="HS111"/>
      <c r="HT111"/>
      <c r="HU111"/>
      <c r="HV111"/>
      <c r="HW111"/>
      <c r="HX111"/>
      <c r="HY111"/>
      <c r="HZ111"/>
      <c r="IA111"/>
      <c r="IB111"/>
      <c r="IC111"/>
      <c r="ID111"/>
      <c r="IE111"/>
      <c r="IF111"/>
      <c r="IG111"/>
      <c r="IH111"/>
      <c r="II111"/>
      <c r="IJ111"/>
      <c r="IK111"/>
      <c r="IL111"/>
      <c r="IM111"/>
      <c r="IN111"/>
      <c r="IO111"/>
      <c r="IP111"/>
      <c r="IQ111"/>
      <c r="IR111"/>
      <c r="IS111"/>
      <c r="IT111"/>
      <c r="IU111"/>
      <c r="IV111"/>
      <c r="IW111"/>
      <c r="IX111"/>
      <c r="IY111"/>
      <c r="IZ111"/>
      <c r="JA111"/>
      <c r="JB111"/>
      <c r="JC111"/>
      <c r="JD111"/>
      <c r="JE111"/>
      <c r="JF111"/>
      <c r="JG111"/>
      <c r="JH111"/>
      <c r="JI111"/>
      <c r="JJ111"/>
      <c r="JK111"/>
      <c r="JL111"/>
      <c r="JM111"/>
      <c r="JN111"/>
      <c r="JO111"/>
      <c r="JP111"/>
      <c r="JQ111"/>
      <c r="JR111"/>
      <c r="JS111"/>
      <c r="JT111"/>
      <c r="JU111"/>
      <c r="JV111"/>
      <c r="JW111"/>
      <c r="JX111"/>
      <c r="JY111"/>
      <c r="JZ111"/>
      <c r="KA111"/>
      <c r="KB111"/>
      <c r="KC111"/>
      <c r="KD111"/>
      <c r="KE111"/>
      <c r="KF111"/>
      <c r="KG111"/>
      <c r="KH111"/>
      <c r="KI111"/>
      <c r="KJ111"/>
      <c r="KK111"/>
      <c r="KL111"/>
      <c r="KM111"/>
      <c r="KN111"/>
      <c r="KO111"/>
      <c r="KP111"/>
      <c r="KQ111"/>
      <c r="KR111"/>
      <c r="KS111"/>
    </row>
    <row r="112" spans="1:305" hidden="1" x14ac:dyDescent="0.25">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c r="HB112"/>
      <c r="HC112"/>
      <c r="HD112"/>
      <c r="HE112"/>
      <c r="HF112"/>
      <c r="HG112"/>
      <c r="HH112"/>
      <c r="HI112"/>
      <c r="HJ112"/>
      <c r="HK112"/>
      <c r="HL112"/>
      <c r="HM112"/>
      <c r="HN112"/>
      <c r="HO112"/>
      <c r="HP112"/>
      <c r="HQ112"/>
      <c r="HR112"/>
      <c r="HS112"/>
      <c r="HT112"/>
      <c r="HU112"/>
      <c r="HV112"/>
      <c r="HW112"/>
      <c r="HX112"/>
      <c r="HY112"/>
      <c r="HZ112"/>
      <c r="IA112"/>
      <c r="IB112"/>
      <c r="IC112"/>
      <c r="ID112"/>
      <c r="IE112"/>
      <c r="IF112"/>
      <c r="IG112"/>
      <c r="IH112"/>
      <c r="II112"/>
      <c r="IJ112"/>
      <c r="IK112"/>
      <c r="IL112"/>
      <c r="IM112"/>
      <c r="IN112"/>
      <c r="IO112"/>
      <c r="IP112"/>
      <c r="IQ112"/>
      <c r="IR112"/>
      <c r="IS112"/>
      <c r="IT112"/>
      <c r="IU112"/>
      <c r="IV112"/>
      <c r="IW112"/>
      <c r="IX112"/>
      <c r="IY112"/>
      <c r="IZ112"/>
      <c r="JA112"/>
      <c r="JB112"/>
      <c r="JC112"/>
      <c r="JD112"/>
      <c r="JE112"/>
      <c r="JF112"/>
      <c r="JG112"/>
      <c r="JH112"/>
      <c r="JI112"/>
      <c r="JJ112"/>
      <c r="JK112"/>
      <c r="JL112"/>
      <c r="JM112"/>
      <c r="JN112"/>
      <c r="JO112"/>
      <c r="JP112"/>
      <c r="JQ112"/>
      <c r="JR112"/>
      <c r="JS112"/>
      <c r="JT112"/>
      <c r="JU112"/>
      <c r="JV112"/>
      <c r="JW112"/>
      <c r="JX112"/>
      <c r="JY112"/>
      <c r="JZ112"/>
      <c r="KA112"/>
      <c r="KB112"/>
      <c r="KC112"/>
      <c r="KD112"/>
      <c r="KE112"/>
      <c r="KF112"/>
      <c r="KG112"/>
      <c r="KH112"/>
      <c r="KI112"/>
      <c r="KJ112"/>
      <c r="KK112"/>
      <c r="KL112"/>
      <c r="KM112"/>
      <c r="KN112"/>
      <c r="KO112"/>
      <c r="KP112"/>
      <c r="KQ112"/>
      <c r="KR112"/>
      <c r="KS112"/>
    </row>
    <row r="113" spans="2:305" hidden="1" x14ac:dyDescent="0.25">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c r="HB113"/>
      <c r="HC113"/>
      <c r="HD113"/>
      <c r="HE113"/>
      <c r="HF113"/>
      <c r="HG113"/>
      <c r="HH113"/>
      <c r="HI113"/>
      <c r="HJ113"/>
      <c r="HK113"/>
      <c r="HL113"/>
      <c r="HM113"/>
      <c r="HN113"/>
      <c r="HO113"/>
      <c r="HP113"/>
      <c r="HQ113"/>
      <c r="HR113"/>
      <c r="HS113"/>
      <c r="HT113"/>
      <c r="HU113"/>
      <c r="HV113"/>
      <c r="HW113"/>
      <c r="HX113"/>
      <c r="HY113"/>
      <c r="HZ113"/>
      <c r="IA113"/>
      <c r="IB113"/>
      <c r="IC113"/>
      <c r="ID113"/>
      <c r="IE113"/>
      <c r="IF113"/>
      <c r="IG113"/>
      <c r="IH113"/>
      <c r="II113"/>
      <c r="IJ113"/>
      <c r="IK113"/>
      <c r="IL113"/>
      <c r="IM113"/>
      <c r="IN113"/>
      <c r="IO113"/>
      <c r="IP113"/>
      <c r="IQ113"/>
      <c r="IR113"/>
      <c r="IS113"/>
      <c r="IT113"/>
      <c r="IU113"/>
      <c r="IV113"/>
      <c r="IW113"/>
      <c r="IX113"/>
      <c r="IY113"/>
      <c r="IZ113"/>
      <c r="JA113"/>
      <c r="JB113"/>
      <c r="JC113"/>
      <c r="JD113"/>
      <c r="JE113"/>
      <c r="JF113"/>
      <c r="JG113"/>
      <c r="JH113"/>
      <c r="JI113"/>
      <c r="JJ113"/>
      <c r="JK113"/>
      <c r="JL113"/>
      <c r="JM113"/>
      <c r="JN113"/>
      <c r="JO113"/>
      <c r="JP113"/>
      <c r="JQ113"/>
      <c r="JR113"/>
      <c r="JS113"/>
      <c r="JT113"/>
      <c r="JU113"/>
      <c r="JV113"/>
      <c r="JW113"/>
      <c r="JX113"/>
      <c r="JY113"/>
      <c r="JZ113"/>
      <c r="KA113"/>
      <c r="KB113"/>
      <c r="KC113"/>
      <c r="KD113"/>
      <c r="KE113"/>
      <c r="KF113"/>
      <c r="KG113"/>
      <c r="KH113"/>
      <c r="KI113"/>
      <c r="KJ113"/>
      <c r="KK113"/>
      <c r="KL113"/>
      <c r="KM113"/>
      <c r="KN113"/>
      <c r="KO113"/>
      <c r="KP113"/>
      <c r="KQ113"/>
      <c r="KR113"/>
      <c r="KS113"/>
    </row>
    <row r="114" spans="2:305" hidden="1" x14ac:dyDescent="0.25">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c r="HB114"/>
      <c r="HC114"/>
      <c r="HD114"/>
      <c r="HE114"/>
      <c r="HF114"/>
      <c r="HG114"/>
      <c r="HH114"/>
      <c r="HI114"/>
      <c r="HJ114"/>
      <c r="HK114"/>
      <c r="HL114"/>
      <c r="HM114"/>
      <c r="HN114"/>
      <c r="HO114"/>
      <c r="HP114"/>
      <c r="HQ114"/>
      <c r="HR114"/>
      <c r="HS114"/>
      <c r="HT114"/>
      <c r="HU114"/>
      <c r="HV114"/>
      <c r="HW114"/>
      <c r="HX114"/>
      <c r="HY114"/>
      <c r="HZ114"/>
      <c r="IA114"/>
      <c r="IB114"/>
      <c r="IC114"/>
      <c r="ID114"/>
      <c r="IE114"/>
      <c r="IF114"/>
      <c r="IG114"/>
      <c r="IH114"/>
      <c r="II114"/>
      <c r="IJ114"/>
      <c r="IK114"/>
      <c r="IL114"/>
      <c r="IM114"/>
      <c r="IN114"/>
      <c r="IO114"/>
      <c r="IP114"/>
      <c r="IQ114"/>
      <c r="IR114"/>
      <c r="IS114"/>
      <c r="IT114"/>
      <c r="IU114"/>
      <c r="IV114"/>
      <c r="IW114"/>
      <c r="IX114"/>
      <c r="IY114"/>
      <c r="IZ114"/>
      <c r="JA114"/>
      <c r="JB114"/>
      <c r="JC114"/>
      <c r="JD114"/>
      <c r="JE114"/>
      <c r="JF114"/>
      <c r="JG114"/>
      <c r="JH114"/>
      <c r="JI114"/>
      <c r="JJ114"/>
      <c r="JK114"/>
      <c r="JL114"/>
      <c r="JM114"/>
      <c r="JN114"/>
      <c r="JO114"/>
      <c r="JP114"/>
      <c r="JQ114"/>
      <c r="JR114"/>
      <c r="JS114"/>
      <c r="JT114"/>
      <c r="JU114"/>
      <c r="JV114"/>
      <c r="JW114"/>
      <c r="JX114"/>
      <c r="JY114"/>
      <c r="JZ114"/>
      <c r="KA114"/>
      <c r="KB114"/>
      <c r="KC114"/>
      <c r="KD114"/>
      <c r="KE114"/>
      <c r="KF114"/>
      <c r="KG114"/>
      <c r="KH114"/>
      <c r="KI114"/>
      <c r="KJ114"/>
      <c r="KK114"/>
      <c r="KL114"/>
      <c r="KM114"/>
      <c r="KN114"/>
      <c r="KO114"/>
      <c r="KP114"/>
      <c r="KQ114"/>
      <c r="KR114"/>
      <c r="KS114"/>
    </row>
    <row r="115" spans="2:305" hidden="1" x14ac:dyDescent="0.2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c r="HB115"/>
      <c r="HC115"/>
      <c r="HD115"/>
      <c r="HE115"/>
      <c r="HF115"/>
      <c r="HG115"/>
      <c r="HH115"/>
      <c r="HI115"/>
      <c r="HJ115"/>
      <c r="HK115"/>
      <c r="HL115"/>
      <c r="HM115"/>
      <c r="HN115"/>
      <c r="HO115"/>
      <c r="HP115"/>
      <c r="HQ115"/>
      <c r="HR115"/>
      <c r="HS115"/>
      <c r="HT115"/>
      <c r="HU115"/>
      <c r="HV115"/>
      <c r="HW115"/>
      <c r="HX115"/>
      <c r="HY115"/>
      <c r="HZ115"/>
      <c r="IA115"/>
      <c r="IB115"/>
      <c r="IC115"/>
      <c r="ID115"/>
      <c r="IE115"/>
      <c r="IF115"/>
      <c r="IG115"/>
      <c r="IH115"/>
      <c r="II115"/>
      <c r="IJ115"/>
      <c r="IK115"/>
      <c r="IL115"/>
      <c r="IM115"/>
      <c r="IN115"/>
      <c r="IO115"/>
      <c r="IP115"/>
      <c r="IQ115"/>
      <c r="IR115"/>
      <c r="IS115"/>
      <c r="IT115"/>
      <c r="IU115"/>
      <c r="IV115"/>
      <c r="IW115"/>
      <c r="IX115"/>
      <c r="IY115"/>
      <c r="IZ115"/>
      <c r="JA115"/>
      <c r="JB115"/>
      <c r="JC115"/>
      <c r="JD115"/>
      <c r="JE115"/>
      <c r="JF115"/>
      <c r="JG115"/>
      <c r="JH115"/>
      <c r="JI115"/>
      <c r="JJ115"/>
      <c r="JK115"/>
      <c r="JL115"/>
      <c r="JM115"/>
      <c r="JN115"/>
      <c r="JO115"/>
      <c r="JP115"/>
      <c r="JQ115"/>
      <c r="JR115"/>
      <c r="JS115"/>
      <c r="JT115"/>
      <c r="JU115"/>
      <c r="JV115"/>
      <c r="JW115"/>
      <c r="JX115"/>
      <c r="JY115"/>
      <c r="JZ115"/>
      <c r="KA115"/>
      <c r="KB115"/>
      <c r="KC115"/>
      <c r="KD115"/>
      <c r="KE115"/>
      <c r="KF115"/>
      <c r="KG115"/>
      <c r="KH115"/>
      <c r="KI115"/>
      <c r="KJ115"/>
      <c r="KK115"/>
      <c r="KL115"/>
      <c r="KM115"/>
      <c r="KN115"/>
      <c r="KO115"/>
      <c r="KP115"/>
      <c r="KQ115"/>
      <c r="KR115"/>
      <c r="KS115"/>
    </row>
    <row r="116" spans="2:305" hidden="1" x14ac:dyDescent="0.25">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c r="HB116"/>
      <c r="HC116"/>
      <c r="HD116"/>
      <c r="HE116"/>
      <c r="HF116"/>
      <c r="HG116"/>
      <c r="HH116"/>
      <c r="HI116"/>
      <c r="HJ116"/>
      <c r="HK116"/>
      <c r="HL116"/>
      <c r="HM116"/>
      <c r="HN116"/>
      <c r="HO116"/>
      <c r="HP116"/>
      <c r="HQ116"/>
      <c r="HR116"/>
      <c r="HS116"/>
      <c r="HT116"/>
      <c r="HU116"/>
      <c r="HV116"/>
      <c r="HW116"/>
      <c r="HX116"/>
      <c r="HY116"/>
      <c r="HZ116"/>
      <c r="IA116"/>
      <c r="IB116"/>
      <c r="IC116"/>
      <c r="ID116"/>
      <c r="IE116"/>
      <c r="IF116"/>
      <c r="IG116"/>
      <c r="IH116"/>
      <c r="II116"/>
      <c r="IJ116"/>
      <c r="IK116"/>
      <c r="IL116"/>
      <c r="IM116"/>
      <c r="IN116"/>
      <c r="IO116"/>
      <c r="IP116"/>
      <c r="IQ116"/>
      <c r="IR116"/>
      <c r="IS116"/>
      <c r="IT116"/>
      <c r="IU116"/>
      <c r="IV116"/>
      <c r="IW116"/>
      <c r="IX116"/>
      <c r="IY116"/>
      <c r="IZ116"/>
      <c r="JA116"/>
      <c r="JB116"/>
      <c r="JC116"/>
      <c r="JD116"/>
      <c r="JE116"/>
      <c r="JF116"/>
      <c r="JG116"/>
      <c r="JH116"/>
      <c r="JI116"/>
      <c r="JJ116"/>
      <c r="JK116"/>
      <c r="JL116"/>
      <c r="JM116"/>
      <c r="JN116"/>
      <c r="JO116"/>
      <c r="JP116"/>
      <c r="JQ116"/>
      <c r="JR116"/>
      <c r="JS116"/>
      <c r="JT116"/>
      <c r="JU116"/>
      <c r="JV116"/>
      <c r="JW116"/>
      <c r="JX116"/>
      <c r="JY116"/>
      <c r="JZ116"/>
      <c r="KA116"/>
      <c r="KB116"/>
      <c r="KC116"/>
      <c r="KD116"/>
      <c r="KE116"/>
      <c r="KF116"/>
      <c r="KG116"/>
      <c r="KH116"/>
      <c r="KI116"/>
      <c r="KJ116"/>
      <c r="KK116"/>
      <c r="KL116"/>
      <c r="KM116"/>
      <c r="KN116"/>
      <c r="KO116"/>
      <c r="KP116"/>
      <c r="KQ116"/>
      <c r="KR116"/>
      <c r="KS116"/>
    </row>
    <row r="117" spans="2:305" hidden="1" x14ac:dyDescent="0.25">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c r="HB117"/>
      <c r="HC117"/>
      <c r="HD117"/>
      <c r="HE117"/>
      <c r="HF117"/>
      <c r="HG117"/>
      <c r="HH117"/>
      <c r="HI117"/>
      <c r="HJ117"/>
      <c r="HK117"/>
      <c r="HL117"/>
      <c r="HM117"/>
      <c r="HN117"/>
      <c r="HO117"/>
      <c r="HP117"/>
      <c r="HQ117"/>
      <c r="HR117"/>
      <c r="HS117"/>
      <c r="HT117"/>
      <c r="HU117"/>
      <c r="HV117"/>
      <c r="HW117"/>
      <c r="HX117"/>
      <c r="HY117"/>
      <c r="HZ117"/>
      <c r="IA117"/>
      <c r="IB117"/>
      <c r="IC117"/>
      <c r="ID117"/>
      <c r="IE117"/>
      <c r="IF117"/>
      <c r="IG117"/>
      <c r="IH117"/>
      <c r="II117"/>
      <c r="IJ117"/>
      <c r="IK117"/>
      <c r="IL117"/>
      <c r="IM117"/>
      <c r="IN117"/>
      <c r="IO117"/>
      <c r="IP117"/>
      <c r="IQ117"/>
      <c r="IR117"/>
      <c r="IS117"/>
      <c r="IT117"/>
      <c r="IU117"/>
      <c r="IV117"/>
      <c r="IW117"/>
      <c r="IX117"/>
      <c r="IY117"/>
      <c r="IZ117"/>
      <c r="JA117"/>
      <c r="JB117"/>
      <c r="JC117"/>
      <c r="JD117"/>
      <c r="JE117"/>
      <c r="JF117"/>
      <c r="JG117"/>
      <c r="JH117"/>
      <c r="JI117"/>
      <c r="JJ117"/>
      <c r="JK117"/>
      <c r="JL117"/>
      <c r="JM117"/>
      <c r="JN117"/>
      <c r="JO117"/>
      <c r="JP117"/>
      <c r="JQ117"/>
      <c r="JR117"/>
      <c r="JS117"/>
      <c r="JT117"/>
      <c r="JU117"/>
      <c r="JV117"/>
      <c r="JW117"/>
      <c r="JX117"/>
      <c r="JY117"/>
      <c r="JZ117"/>
      <c r="KA117"/>
      <c r="KB117"/>
      <c r="KC117"/>
      <c r="KD117"/>
      <c r="KE117"/>
      <c r="KF117"/>
      <c r="KG117"/>
      <c r="KH117"/>
      <c r="KI117"/>
      <c r="KJ117"/>
      <c r="KK117"/>
      <c r="KL117"/>
      <c r="KM117"/>
      <c r="KN117"/>
      <c r="KO117"/>
      <c r="KP117"/>
      <c r="KQ117"/>
      <c r="KR117"/>
      <c r="KS117"/>
    </row>
    <row r="118" spans="2:305" hidden="1" x14ac:dyDescent="0.25">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c r="HB118"/>
      <c r="HC118"/>
      <c r="HD118"/>
      <c r="HE118"/>
      <c r="HF118"/>
      <c r="HG118"/>
      <c r="HH118"/>
      <c r="HI118"/>
      <c r="HJ118"/>
      <c r="HK118"/>
      <c r="HL118"/>
      <c r="HM118"/>
      <c r="HN118"/>
      <c r="HO118"/>
      <c r="HP118"/>
      <c r="HQ118"/>
      <c r="HR118"/>
      <c r="HS118"/>
      <c r="HT118"/>
      <c r="HU118"/>
      <c r="HV118"/>
      <c r="HW118"/>
      <c r="HX118"/>
      <c r="HY118"/>
      <c r="HZ118"/>
      <c r="IA118"/>
      <c r="IB118"/>
      <c r="IC118"/>
      <c r="ID118"/>
      <c r="IE118"/>
      <c r="IF118"/>
      <c r="IG118"/>
      <c r="IH118"/>
      <c r="II118"/>
      <c r="IJ118"/>
      <c r="IK118"/>
      <c r="IL118"/>
      <c r="IM118"/>
      <c r="IN118"/>
      <c r="IO118"/>
      <c r="IP118"/>
      <c r="IQ118"/>
      <c r="IR118"/>
      <c r="IS118"/>
      <c r="IT118"/>
      <c r="IU118"/>
      <c r="IV118"/>
      <c r="IW118"/>
      <c r="IX118"/>
      <c r="IY118"/>
      <c r="IZ118"/>
      <c r="JA118"/>
      <c r="JB118"/>
      <c r="JC118"/>
      <c r="JD118"/>
      <c r="JE118"/>
      <c r="JF118"/>
      <c r="JG118"/>
      <c r="JH118"/>
      <c r="JI118"/>
      <c r="JJ118"/>
      <c r="JK118"/>
      <c r="JL118"/>
      <c r="JM118"/>
      <c r="JN118"/>
      <c r="JO118"/>
      <c r="JP118"/>
      <c r="JQ118"/>
      <c r="JR118"/>
      <c r="JS118"/>
      <c r="JT118"/>
      <c r="JU118"/>
      <c r="JV118"/>
      <c r="JW118"/>
      <c r="JX118"/>
      <c r="JY118"/>
      <c r="JZ118"/>
      <c r="KA118"/>
      <c r="KB118"/>
      <c r="KC118"/>
      <c r="KD118"/>
      <c r="KE118"/>
      <c r="KF118"/>
      <c r="KG118"/>
      <c r="KH118"/>
      <c r="KI118"/>
      <c r="KJ118"/>
      <c r="KK118"/>
      <c r="KL118"/>
      <c r="KM118"/>
      <c r="KN118"/>
      <c r="KO118"/>
      <c r="KP118"/>
      <c r="KQ118"/>
      <c r="KR118"/>
      <c r="KS118"/>
    </row>
    <row r="119" spans="2:305" hidden="1" x14ac:dyDescent="0.25">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c r="HB119"/>
      <c r="HC119"/>
      <c r="HD119"/>
      <c r="HE119"/>
      <c r="HF119"/>
      <c r="HG119"/>
      <c r="HH119"/>
      <c r="HI119"/>
      <c r="HJ119"/>
      <c r="HK119"/>
      <c r="HL119"/>
      <c r="HM119"/>
      <c r="HN119"/>
      <c r="HO119"/>
      <c r="HP119"/>
      <c r="HQ119"/>
      <c r="HR119"/>
      <c r="HS119"/>
      <c r="HT119"/>
      <c r="HU119"/>
      <c r="HV119"/>
      <c r="HW119"/>
      <c r="HX119"/>
      <c r="HY119"/>
      <c r="HZ119"/>
      <c r="IA119"/>
      <c r="IB119"/>
      <c r="IC119"/>
      <c r="ID119"/>
      <c r="IE119"/>
      <c r="IF119"/>
      <c r="IG119"/>
      <c r="IH119"/>
      <c r="II119"/>
      <c r="IJ119"/>
      <c r="IK119"/>
      <c r="IL119"/>
      <c r="IM119"/>
      <c r="IN119"/>
      <c r="IO119"/>
      <c r="IP119"/>
      <c r="IQ119"/>
      <c r="IR119"/>
      <c r="IS119"/>
      <c r="IT119"/>
      <c r="IU119"/>
      <c r="IV119"/>
      <c r="IW119"/>
      <c r="IX119"/>
      <c r="IY119"/>
      <c r="IZ119"/>
      <c r="JA119"/>
      <c r="JB119"/>
      <c r="JC119"/>
      <c r="JD119"/>
      <c r="JE119"/>
      <c r="JF119"/>
      <c r="JG119"/>
      <c r="JH119"/>
      <c r="JI119"/>
      <c r="JJ119"/>
      <c r="JK119"/>
      <c r="JL119"/>
      <c r="JM119"/>
      <c r="JN119"/>
      <c r="JO119"/>
      <c r="JP119"/>
      <c r="JQ119"/>
      <c r="JR119"/>
      <c r="JS119"/>
      <c r="JT119"/>
      <c r="JU119"/>
      <c r="JV119"/>
      <c r="JW119"/>
      <c r="JX119"/>
      <c r="JY119"/>
      <c r="JZ119"/>
      <c r="KA119"/>
      <c r="KB119"/>
      <c r="KC119"/>
      <c r="KD119"/>
      <c r="KE119"/>
      <c r="KF119"/>
      <c r="KG119"/>
      <c r="KH119"/>
      <c r="KI119"/>
      <c r="KJ119"/>
      <c r="KK119"/>
      <c r="KL119"/>
      <c r="KM119"/>
      <c r="KN119"/>
      <c r="KO119"/>
      <c r="KP119"/>
      <c r="KQ119"/>
      <c r="KR119"/>
      <c r="KS119"/>
    </row>
    <row r="120" spans="2:305" hidden="1" x14ac:dyDescent="0.25">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c r="HB120"/>
      <c r="HC120"/>
      <c r="HD120"/>
      <c r="HE120"/>
      <c r="HF120"/>
      <c r="HG120"/>
      <c r="HH120"/>
      <c r="HI120"/>
      <c r="HJ120"/>
      <c r="HK120"/>
      <c r="HL120"/>
      <c r="HM120"/>
      <c r="HN120"/>
      <c r="HO120"/>
      <c r="HP120"/>
      <c r="HQ120"/>
      <c r="HR120"/>
      <c r="HS120"/>
      <c r="HT120"/>
      <c r="HU120"/>
      <c r="HV120"/>
      <c r="HW120"/>
      <c r="HX120"/>
      <c r="HY120"/>
      <c r="HZ120"/>
      <c r="IA120"/>
      <c r="IB120"/>
      <c r="IC120"/>
      <c r="ID120"/>
      <c r="IE120"/>
      <c r="IF120"/>
      <c r="IG120"/>
      <c r="IH120"/>
      <c r="II120"/>
      <c r="IJ120"/>
      <c r="IK120"/>
      <c r="IL120"/>
      <c r="IM120"/>
      <c r="IN120"/>
      <c r="IO120"/>
      <c r="IP120"/>
      <c r="IQ120"/>
      <c r="IR120"/>
      <c r="IS120"/>
      <c r="IT120"/>
      <c r="IU120"/>
      <c r="IV120"/>
      <c r="IW120"/>
      <c r="IX120"/>
      <c r="IY120"/>
      <c r="IZ120"/>
      <c r="JA120"/>
      <c r="JB120"/>
      <c r="JC120"/>
      <c r="JD120"/>
      <c r="JE120"/>
      <c r="JF120"/>
      <c r="JG120"/>
      <c r="JH120"/>
      <c r="JI120"/>
      <c r="JJ120"/>
      <c r="JK120"/>
      <c r="JL120"/>
      <c r="JM120"/>
      <c r="JN120"/>
      <c r="JO120"/>
      <c r="JP120"/>
      <c r="JQ120"/>
      <c r="JR120"/>
      <c r="JS120"/>
      <c r="JT120"/>
      <c r="JU120"/>
      <c r="JV120"/>
      <c r="JW120"/>
      <c r="JX120"/>
      <c r="JY120"/>
      <c r="JZ120"/>
      <c r="KA120"/>
      <c r="KB120"/>
      <c r="KC120"/>
      <c r="KD120"/>
      <c r="KE120"/>
      <c r="KF120"/>
      <c r="KG120"/>
      <c r="KH120"/>
      <c r="KI120"/>
      <c r="KJ120"/>
      <c r="KK120"/>
      <c r="KL120"/>
      <c r="KM120"/>
      <c r="KN120"/>
      <c r="KO120"/>
      <c r="KP120"/>
      <c r="KQ120"/>
      <c r="KR120"/>
      <c r="KS120"/>
    </row>
    <row r="121" spans="2:305" hidden="1" x14ac:dyDescent="0.25">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c r="HB121"/>
      <c r="HC121"/>
      <c r="HD121"/>
      <c r="HE121"/>
      <c r="HF121"/>
      <c r="HG121"/>
      <c r="HH121"/>
      <c r="HI121"/>
      <c r="HJ121"/>
      <c r="HK121"/>
      <c r="HL121"/>
      <c r="HM121"/>
      <c r="HN121"/>
      <c r="HO121"/>
      <c r="HP121"/>
      <c r="HQ121"/>
      <c r="HR121"/>
      <c r="HS121"/>
      <c r="HT121"/>
      <c r="HU121"/>
      <c r="HV121"/>
      <c r="HW121"/>
      <c r="HX121"/>
      <c r="HY121"/>
      <c r="HZ121"/>
      <c r="IA121"/>
      <c r="IB121"/>
      <c r="IC121"/>
      <c r="ID121"/>
      <c r="IE121"/>
      <c r="IF121"/>
      <c r="IG121"/>
      <c r="IH121"/>
      <c r="II121"/>
      <c r="IJ121"/>
      <c r="IK121"/>
      <c r="IL121"/>
      <c r="IM121"/>
      <c r="IN121"/>
      <c r="IO121"/>
      <c r="IP121"/>
      <c r="IQ121"/>
      <c r="IR121"/>
      <c r="IS121"/>
      <c r="IT121"/>
      <c r="IU121"/>
      <c r="IV121"/>
      <c r="IW121"/>
      <c r="IX121"/>
      <c r="IY121"/>
      <c r="IZ121"/>
      <c r="JA121"/>
      <c r="JB121"/>
      <c r="JC121"/>
      <c r="JD121"/>
      <c r="JE121"/>
      <c r="JF121"/>
      <c r="JG121"/>
      <c r="JH121"/>
      <c r="JI121"/>
      <c r="JJ121"/>
      <c r="JK121"/>
      <c r="JL121"/>
      <c r="JM121"/>
      <c r="JN121"/>
      <c r="JO121"/>
      <c r="JP121"/>
      <c r="JQ121"/>
      <c r="JR121"/>
      <c r="JS121"/>
      <c r="JT121"/>
      <c r="JU121"/>
      <c r="JV121"/>
      <c r="JW121"/>
      <c r="JX121"/>
      <c r="JY121"/>
      <c r="JZ121"/>
      <c r="KA121"/>
      <c r="KB121"/>
      <c r="KC121"/>
      <c r="KD121"/>
      <c r="KE121"/>
      <c r="KF121"/>
      <c r="KG121"/>
      <c r="KH121"/>
      <c r="KI121"/>
      <c r="KJ121"/>
      <c r="KK121"/>
      <c r="KL121"/>
      <c r="KM121"/>
      <c r="KN121"/>
      <c r="KO121"/>
      <c r="KP121"/>
      <c r="KQ121"/>
      <c r="KR121"/>
      <c r="KS121"/>
    </row>
    <row r="122" spans="2:305" hidden="1" x14ac:dyDescent="0.25">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c r="HB122"/>
      <c r="HC122"/>
      <c r="HD122"/>
      <c r="HE122"/>
      <c r="HF122"/>
      <c r="HG122"/>
      <c r="HH122"/>
      <c r="HI122"/>
      <c r="HJ122"/>
      <c r="HK122"/>
      <c r="HL122"/>
      <c r="HM122"/>
      <c r="HN122"/>
      <c r="HO122"/>
      <c r="HP122"/>
      <c r="HQ122"/>
      <c r="HR122"/>
      <c r="HS122"/>
      <c r="HT122"/>
      <c r="HU122"/>
      <c r="HV122"/>
      <c r="HW122"/>
      <c r="HX122"/>
      <c r="HY122"/>
      <c r="HZ122"/>
      <c r="IA122"/>
      <c r="IB122"/>
      <c r="IC122"/>
      <c r="ID122"/>
      <c r="IE122"/>
      <c r="IF122"/>
      <c r="IG122"/>
      <c r="IH122"/>
      <c r="II122"/>
      <c r="IJ122"/>
      <c r="IK122"/>
      <c r="IL122"/>
      <c r="IM122"/>
      <c r="IN122"/>
      <c r="IO122"/>
      <c r="IP122"/>
      <c r="IQ122"/>
      <c r="IR122"/>
      <c r="IS122"/>
      <c r="IT122"/>
      <c r="IU122"/>
      <c r="IV122"/>
      <c r="IW122"/>
      <c r="IX122"/>
      <c r="IY122"/>
      <c r="IZ122"/>
      <c r="JA122"/>
      <c r="JB122"/>
      <c r="JC122"/>
      <c r="JD122"/>
      <c r="JE122"/>
      <c r="JF122"/>
      <c r="JG122"/>
      <c r="JH122"/>
      <c r="JI122"/>
      <c r="JJ122"/>
      <c r="JK122"/>
      <c r="JL122"/>
      <c r="JM122"/>
      <c r="JN122"/>
      <c r="JO122"/>
      <c r="JP122"/>
      <c r="JQ122"/>
      <c r="JR122"/>
      <c r="JS122"/>
      <c r="JT122"/>
      <c r="JU122"/>
      <c r="JV122"/>
      <c r="JW122"/>
      <c r="JX122"/>
      <c r="JY122"/>
      <c r="JZ122"/>
      <c r="KA122"/>
      <c r="KB122"/>
      <c r="KC122"/>
      <c r="KD122"/>
      <c r="KE122"/>
      <c r="KF122"/>
      <c r="KG122"/>
      <c r="KH122"/>
      <c r="KI122"/>
      <c r="KJ122"/>
      <c r="KK122"/>
      <c r="KL122"/>
      <c r="KM122"/>
      <c r="KN122"/>
      <c r="KO122"/>
      <c r="KP122"/>
      <c r="KQ122"/>
      <c r="KR122"/>
      <c r="KS122"/>
    </row>
    <row r="123" spans="2:305" hidden="1" x14ac:dyDescent="0.25">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c r="GS123"/>
      <c r="GT123"/>
      <c r="GU123"/>
      <c r="GV123"/>
      <c r="GW123"/>
      <c r="GX123"/>
      <c r="GY123"/>
      <c r="GZ123"/>
      <c r="HA123"/>
      <c r="HB123"/>
      <c r="HC123"/>
      <c r="HD123"/>
      <c r="HE123"/>
      <c r="HF123"/>
      <c r="HG123"/>
      <c r="HH123"/>
      <c r="HI123"/>
      <c r="HJ123"/>
      <c r="HK123"/>
      <c r="HL123"/>
      <c r="HM123"/>
      <c r="HN123"/>
      <c r="HO123"/>
      <c r="HP123"/>
      <c r="HQ123"/>
      <c r="HR123"/>
      <c r="HS123"/>
      <c r="HT123"/>
      <c r="HU123"/>
      <c r="HV123"/>
      <c r="HW123"/>
      <c r="HX123"/>
      <c r="HY123"/>
      <c r="HZ123"/>
      <c r="IA123"/>
      <c r="IB123"/>
      <c r="IC123"/>
      <c r="ID123"/>
      <c r="IE123"/>
      <c r="IF123"/>
      <c r="IG123"/>
      <c r="IH123"/>
      <c r="II123"/>
      <c r="IJ123"/>
      <c r="IK123"/>
      <c r="IL123"/>
      <c r="IM123"/>
      <c r="IN123"/>
      <c r="IO123"/>
      <c r="IP123"/>
      <c r="IQ123"/>
      <c r="IR123"/>
      <c r="IS123"/>
      <c r="IT123"/>
      <c r="IU123"/>
      <c r="IV123"/>
      <c r="IW123"/>
      <c r="IX123"/>
      <c r="IY123"/>
      <c r="IZ123"/>
      <c r="JA123"/>
      <c r="JB123"/>
      <c r="JC123"/>
      <c r="JD123"/>
      <c r="JE123"/>
      <c r="JF123"/>
      <c r="JG123"/>
      <c r="JH123"/>
      <c r="JI123"/>
      <c r="JJ123"/>
      <c r="JK123"/>
      <c r="JL123"/>
      <c r="JM123"/>
      <c r="JN123"/>
      <c r="JO123"/>
      <c r="JP123"/>
      <c r="JQ123"/>
      <c r="JR123"/>
      <c r="JS123"/>
      <c r="JT123"/>
      <c r="JU123"/>
      <c r="JV123"/>
      <c r="JW123"/>
      <c r="JX123"/>
      <c r="JY123"/>
      <c r="JZ123"/>
      <c r="KA123"/>
      <c r="KB123"/>
      <c r="KC123"/>
      <c r="KD123"/>
      <c r="KE123"/>
      <c r="KF123"/>
      <c r="KG123"/>
      <c r="KH123"/>
      <c r="KI123"/>
      <c r="KJ123"/>
      <c r="KK123"/>
      <c r="KL123"/>
      <c r="KM123"/>
      <c r="KN123"/>
      <c r="KO123"/>
      <c r="KP123"/>
      <c r="KQ123"/>
      <c r="KR123"/>
      <c r="KS123"/>
    </row>
    <row r="124" spans="2:305" hidden="1" x14ac:dyDescent="0.25">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c r="GS124"/>
      <c r="GT124"/>
      <c r="GU124"/>
      <c r="GV124"/>
      <c r="GW124"/>
      <c r="GX124"/>
      <c r="GY124"/>
      <c r="GZ124"/>
      <c r="HA124"/>
      <c r="HB124"/>
      <c r="HC124"/>
      <c r="HD124"/>
      <c r="HE124"/>
      <c r="HF124"/>
      <c r="HG124"/>
      <c r="HH124"/>
      <c r="HI124"/>
      <c r="HJ124"/>
      <c r="HK124"/>
      <c r="HL124"/>
      <c r="HM124"/>
      <c r="HN124"/>
      <c r="HO124"/>
      <c r="HP124"/>
      <c r="HQ124"/>
      <c r="HR124"/>
      <c r="HS124"/>
      <c r="HT124"/>
      <c r="HU124"/>
      <c r="HV124"/>
      <c r="HW124"/>
      <c r="HX124"/>
      <c r="HY124"/>
      <c r="HZ124"/>
      <c r="IA124"/>
      <c r="IB124"/>
      <c r="IC124"/>
      <c r="ID124"/>
      <c r="IE124"/>
      <c r="IF124"/>
      <c r="IG124"/>
      <c r="IH124"/>
      <c r="II124"/>
      <c r="IJ124"/>
      <c r="IK124"/>
      <c r="IL124"/>
      <c r="IM124"/>
      <c r="IN124"/>
      <c r="IO124"/>
      <c r="IP124"/>
      <c r="IQ124"/>
      <c r="IR124"/>
      <c r="IS124"/>
      <c r="IT124"/>
      <c r="IU124"/>
      <c r="IV124"/>
      <c r="IW124"/>
      <c r="IX124"/>
      <c r="IY124"/>
      <c r="IZ124"/>
      <c r="JA124"/>
      <c r="JB124"/>
      <c r="JC124"/>
      <c r="JD124"/>
      <c r="JE124"/>
      <c r="JF124"/>
      <c r="JG124"/>
      <c r="JH124"/>
      <c r="JI124"/>
      <c r="JJ124"/>
      <c r="JK124"/>
      <c r="JL124"/>
      <c r="JM124"/>
      <c r="JN124"/>
      <c r="JO124"/>
      <c r="JP124"/>
      <c r="JQ124"/>
      <c r="JR124"/>
      <c r="JS124"/>
      <c r="JT124"/>
      <c r="JU124"/>
      <c r="JV124"/>
      <c r="JW124"/>
      <c r="JX124"/>
      <c r="JY124"/>
      <c r="JZ124"/>
      <c r="KA124"/>
      <c r="KB124"/>
      <c r="KC124"/>
      <c r="KD124"/>
      <c r="KE124"/>
      <c r="KF124"/>
      <c r="KG124"/>
      <c r="KH124"/>
      <c r="KI124"/>
      <c r="KJ124"/>
      <c r="KK124"/>
      <c r="KL124"/>
      <c r="KM124"/>
      <c r="KN124"/>
      <c r="KO124"/>
      <c r="KP124"/>
      <c r="KQ124"/>
      <c r="KR124"/>
      <c r="KS124"/>
    </row>
    <row r="125" spans="2:305" hidden="1" x14ac:dyDescent="0.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c r="GQ125"/>
      <c r="GR125"/>
      <c r="GS125"/>
      <c r="GT125"/>
      <c r="GU125"/>
      <c r="GV125"/>
      <c r="GW125"/>
      <c r="GX125"/>
      <c r="GY125"/>
      <c r="GZ125"/>
      <c r="HA125"/>
      <c r="HB125"/>
      <c r="HC125"/>
      <c r="HD125"/>
      <c r="HE125"/>
      <c r="HF125"/>
      <c r="HG125"/>
      <c r="HH125"/>
      <c r="HI125"/>
      <c r="HJ125"/>
      <c r="HK125"/>
      <c r="HL125"/>
      <c r="HM125"/>
      <c r="HN125"/>
      <c r="HO125"/>
      <c r="HP125"/>
      <c r="HQ125"/>
      <c r="HR125"/>
      <c r="HS125"/>
      <c r="HT125"/>
      <c r="HU125"/>
      <c r="HV125"/>
      <c r="HW125"/>
      <c r="HX125"/>
      <c r="HY125"/>
      <c r="HZ125"/>
      <c r="IA125"/>
      <c r="IB125"/>
      <c r="IC125"/>
      <c r="ID125"/>
      <c r="IE125"/>
      <c r="IF125"/>
      <c r="IG125"/>
      <c r="IH125"/>
      <c r="II125"/>
      <c r="IJ125"/>
      <c r="IK125"/>
      <c r="IL125"/>
      <c r="IM125"/>
      <c r="IN125"/>
      <c r="IO125"/>
      <c r="IP125"/>
      <c r="IQ125"/>
      <c r="IR125"/>
      <c r="IS125"/>
      <c r="IT125"/>
      <c r="IU125"/>
      <c r="IV125"/>
      <c r="IW125"/>
      <c r="IX125"/>
      <c r="IY125"/>
      <c r="IZ125"/>
      <c r="JA125"/>
      <c r="JB125"/>
      <c r="JC125"/>
      <c r="JD125"/>
      <c r="JE125"/>
      <c r="JF125"/>
      <c r="JG125"/>
      <c r="JH125"/>
      <c r="JI125"/>
      <c r="JJ125"/>
      <c r="JK125"/>
      <c r="JL125"/>
      <c r="JM125"/>
      <c r="JN125"/>
      <c r="JO125"/>
      <c r="JP125"/>
      <c r="JQ125"/>
      <c r="JR125"/>
      <c r="JS125"/>
      <c r="JT125"/>
      <c r="JU125"/>
      <c r="JV125"/>
      <c r="JW125"/>
      <c r="JX125"/>
      <c r="JY125"/>
      <c r="JZ125"/>
      <c r="KA125"/>
      <c r="KB125"/>
      <c r="KC125"/>
      <c r="KD125"/>
      <c r="KE125"/>
      <c r="KF125"/>
      <c r="KG125"/>
      <c r="KH125"/>
      <c r="KI125"/>
      <c r="KJ125"/>
      <c r="KK125"/>
      <c r="KL125"/>
      <c r="KM125"/>
      <c r="KN125"/>
      <c r="KO125"/>
      <c r="KP125"/>
      <c r="KQ125"/>
      <c r="KR125"/>
      <c r="KS125"/>
    </row>
    <row r="126" spans="2:305" hidden="1" x14ac:dyDescent="0.25">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c r="FX126"/>
      <c r="FY126"/>
      <c r="FZ126"/>
      <c r="GA126"/>
      <c r="GB126"/>
      <c r="GC126"/>
      <c r="GD126"/>
      <c r="GE126"/>
      <c r="GF126"/>
      <c r="GG126"/>
      <c r="GH126"/>
      <c r="GI126"/>
      <c r="GJ126"/>
      <c r="GK126"/>
      <c r="GL126"/>
      <c r="GM126"/>
      <c r="GN126"/>
      <c r="GO126"/>
      <c r="GP126"/>
      <c r="GQ126"/>
      <c r="GR126"/>
      <c r="GS126"/>
      <c r="GT126"/>
      <c r="GU126"/>
      <c r="GV126"/>
      <c r="GW126"/>
      <c r="GX126"/>
      <c r="GY126"/>
      <c r="GZ126"/>
      <c r="HA126"/>
      <c r="HB126"/>
      <c r="HC126"/>
      <c r="HD126"/>
      <c r="HE126"/>
      <c r="HF126"/>
      <c r="HG126"/>
      <c r="HH126"/>
      <c r="HI126"/>
      <c r="HJ126"/>
      <c r="HK126"/>
      <c r="HL126"/>
      <c r="HM126"/>
      <c r="HN126"/>
      <c r="HO126"/>
      <c r="HP126"/>
      <c r="HQ126"/>
      <c r="HR126"/>
      <c r="HS126"/>
      <c r="HT126"/>
      <c r="HU126"/>
      <c r="HV126"/>
      <c r="HW126"/>
      <c r="HX126"/>
      <c r="HY126"/>
      <c r="HZ126"/>
      <c r="IA126"/>
      <c r="IB126"/>
      <c r="IC126"/>
      <c r="ID126"/>
      <c r="IE126"/>
      <c r="IF126"/>
      <c r="IG126"/>
      <c r="IH126"/>
      <c r="II126"/>
      <c r="IJ126"/>
      <c r="IK126"/>
      <c r="IL126"/>
      <c r="IM126"/>
      <c r="IN126"/>
      <c r="IO126"/>
      <c r="IP126"/>
      <c r="IQ126"/>
      <c r="IR126"/>
      <c r="IS126"/>
      <c r="IT126"/>
      <c r="IU126"/>
      <c r="IV126"/>
      <c r="IW126"/>
      <c r="IX126"/>
      <c r="IY126"/>
      <c r="IZ126"/>
      <c r="JA126"/>
      <c r="JB126"/>
      <c r="JC126"/>
      <c r="JD126"/>
      <c r="JE126"/>
      <c r="JF126"/>
      <c r="JG126"/>
      <c r="JH126"/>
      <c r="JI126"/>
      <c r="JJ126"/>
      <c r="JK126"/>
      <c r="JL126"/>
      <c r="JM126"/>
      <c r="JN126"/>
      <c r="JO126"/>
      <c r="JP126"/>
      <c r="JQ126"/>
      <c r="JR126"/>
      <c r="JS126"/>
      <c r="JT126"/>
      <c r="JU126"/>
      <c r="JV126"/>
      <c r="JW126"/>
      <c r="JX126"/>
      <c r="JY126"/>
      <c r="JZ126"/>
      <c r="KA126"/>
      <c r="KB126"/>
      <c r="KC126"/>
      <c r="KD126"/>
      <c r="KE126"/>
      <c r="KF126"/>
      <c r="KG126"/>
      <c r="KH126"/>
      <c r="KI126"/>
      <c r="KJ126"/>
      <c r="KK126"/>
      <c r="KL126"/>
      <c r="KM126"/>
      <c r="KN126"/>
      <c r="KO126"/>
      <c r="KP126"/>
      <c r="KQ126"/>
      <c r="KR126"/>
      <c r="KS126"/>
    </row>
    <row r="127" spans="2:305" hidden="1" x14ac:dyDescent="0.25">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c r="GQ127"/>
      <c r="GR127"/>
      <c r="GS127"/>
      <c r="GT127"/>
      <c r="GU127"/>
      <c r="GV127"/>
      <c r="GW127"/>
      <c r="GX127"/>
      <c r="GY127"/>
      <c r="GZ127"/>
      <c r="HA127"/>
      <c r="HB127"/>
      <c r="HC127"/>
      <c r="HD127"/>
      <c r="HE127"/>
      <c r="HF127"/>
      <c r="HG127"/>
      <c r="HH127"/>
      <c r="HI127"/>
      <c r="HJ127"/>
      <c r="HK127"/>
      <c r="HL127"/>
      <c r="HM127"/>
      <c r="HN127"/>
      <c r="HO127"/>
      <c r="HP127"/>
      <c r="HQ127"/>
      <c r="HR127"/>
      <c r="HS127"/>
      <c r="HT127"/>
      <c r="HU127"/>
      <c r="HV127"/>
      <c r="HW127"/>
      <c r="HX127"/>
      <c r="HY127"/>
      <c r="HZ127"/>
      <c r="IA127"/>
      <c r="IB127"/>
      <c r="IC127"/>
      <c r="ID127"/>
      <c r="IE127"/>
      <c r="IF127"/>
      <c r="IG127"/>
      <c r="IH127"/>
      <c r="II127"/>
      <c r="IJ127"/>
      <c r="IK127"/>
      <c r="IL127"/>
      <c r="IM127"/>
      <c r="IN127"/>
      <c r="IO127"/>
      <c r="IP127"/>
      <c r="IQ127"/>
      <c r="IR127"/>
      <c r="IS127"/>
      <c r="IT127"/>
      <c r="IU127"/>
      <c r="IV127"/>
      <c r="IW127"/>
      <c r="IX127"/>
      <c r="IY127"/>
      <c r="IZ127"/>
      <c r="JA127"/>
      <c r="JB127"/>
      <c r="JC127"/>
      <c r="JD127"/>
      <c r="JE127"/>
      <c r="JF127"/>
      <c r="JG127"/>
      <c r="JH127"/>
      <c r="JI127"/>
      <c r="JJ127"/>
      <c r="JK127"/>
      <c r="JL127"/>
      <c r="JM127"/>
      <c r="JN127"/>
      <c r="JO127"/>
      <c r="JP127"/>
      <c r="JQ127"/>
      <c r="JR127"/>
      <c r="JS127"/>
      <c r="JT127"/>
      <c r="JU127"/>
      <c r="JV127"/>
      <c r="JW127"/>
      <c r="JX127"/>
      <c r="JY127"/>
      <c r="JZ127"/>
      <c r="KA127"/>
      <c r="KB127"/>
      <c r="KC127"/>
      <c r="KD127"/>
      <c r="KE127"/>
      <c r="KF127"/>
      <c r="KG127"/>
      <c r="KH127"/>
      <c r="KI127"/>
      <c r="KJ127"/>
      <c r="KK127"/>
      <c r="KL127"/>
      <c r="KM127"/>
      <c r="KN127"/>
      <c r="KO127"/>
      <c r="KP127"/>
      <c r="KQ127"/>
      <c r="KR127"/>
      <c r="KS127"/>
    </row>
    <row r="128" spans="2:305" hidden="1" x14ac:dyDescent="0.25">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c r="GQ128"/>
      <c r="GR128"/>
      <c r="GS128"/>
      <c r="GT128"/>
      <c r="GU128"/>
      <c r="GV128"/>
      <c r="GW128"/>
      <c r="GX128"/>
      <c r="GY128"/>
      <c r="GZ128"/>
      <c r="HA128"/>
      <c r="HB128"/>
      <c r="HC128"/>
      <c r="HD128"/>
      <c r="HE128"/>
      <c r="HF128"/>
      <c r="HG128"/>
      <c r="HH128"/>
      <c r="HI128"/>
      <c r="HJ128"/>
      <c r="HK128"/>
      <c r="HL128"/>
      <c r="HM128"/>
      <c r="HN128"/>
      <c r="HO128"/>
      <c r="HP128"/>
      <c r="HQ128"/>
      <c r="HR128"/>
      <c r="HS128"/>
      <c r="HT128"/>
      <c r="HU128"/>
      <c r="HV128"/>
      <c r="HW128"/>
      <c r="HX128"/>
      <c r="HY128"/>
      <c r="HZ128"/>
      <c r="IA128"/>
      <c r="IB128"/>
      <c r="IC128"/>
      <c r="ID128"/>
      <c r="IE128"/>
      <c r="IF128"/>
      <c r="IG128"/>
      <c r="IH128"/>
      <c r="II128"/>
      <c r="IJ128"/>
      <c r="IK128"/>
      <c r="IL128"/>
      <c r="IM128"/>
      <c r="IN128"/>
      <c r="IO128"/>
      <c r="IP128"/>
      <c r="IQ128"/>
      <c r="IR128"/>
      <c r="IS128"/>
      <c r="IT128"/>
      <c r="IU128"/>
      <c r="IV128"/>
      <c r="IW128"/>
      <c r="IX128"/>
      <c r="IY128"/>
      <c r="IZ128"/>
      <c r="JA128"/>
      <c r="JB128"/>
      <c r="JC128"/>
      <c r="JD128"/>
      <c r="JE128"/>
      <c r="JF128"/>
      <c r="JG128"/>
      <c r="JH128"/>
      <c r="JI128"/>
      <c r="JJ128"/>
      <c r="JK128"/>
      <c r="JL128"/>
      <c r="JM128"/>
      <c r="JN128"/>
      <c r="JO128"/>
      <c r="JP128"/>
      <c r="JQ128"/>
      <c r="JR128"/>
      <c r="JS128"/>
      <c r="JT128"/>
      <c r="JU128"/>
      <c r="JV128"/>
      <c r="JW128"/>
      <c r="JX128"/>
      <c r="JY128"/>
      <c r="JZ128"/>
      <c r="KA128"/>
      <c r="KB128"/>
      <c r="KC128"/>
      <c r="KD128"/>
      <c r="KE128"/>
      <c r="KF128"/>
      <c r="KG128"/>
      <c r="KH128"/>
      <c r="KI128"/>
      <c r="KJ128"/>
      <c r="KK128"/>
      <c r="KL128"/>
      <c r="KM128"/>
      <c r="KN128"/>
      <c r="KO128"/>
      <c r="KP128"/>
      <c r="KQ128"/>
      <c r="KR128"/>
      <c r="KS128"/>
    </row>
    <row r="129" spans="2:305" hidden="1" x14ac:dyDescent="0.25">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c r="FX129"/>
      <c r="FY129"/>
      <c r="FZ129"/>
      <c r="GA129"/>
      <c r="GB129"/>
      <c r="GC129"/>
      <c r="GD129"/>
      <c r="GE129"/>
      <c r="GF129"/>
      <c r="GG129"/>
      <c r="GH129"/>
      <c r="GI129"/>
      <c r="GJ129"/>
      <c r="GK129"/>
      <c r="GL129"/>
      <c r="GM129"/>
      <c r="GN129"/>
      <c r="GO129"/>
      <c r="GP129"/>
      <c r="GQ129"/>
      <c r="GR129"/>
      <c r="GS129"/>
      <c r="GT129"/>
      <c r="GU129"/>
      <c r="GV129"/>
      <c r="GW129"/>
      <c r="GX129"/>
      <c r="GY129"/>
      <c r="GZ129"/>
      <c r="HA129"/>
      <c r="HB129"/>
      <c r="HC129"/>
      <c r="HD129"/>
      <c r="HE129"/>
      <c r="HF129"/>
      <c r="HG129"/>
      <c r="HH129"/>
      <c r="HI129"/>
      <c r="HJ129"/>
      <c r="HK129"/>
      <c r="HL129"/>
      <c r="HM129"/>
      <c r="HN129"/>
      <c r="HO129"/>
      <c r="HP129"/>
      <c r="HQ129"/>
      <c r="HR129"/>
      <c r="HS129"/>
      <c r="HT129"/>
      <c r="HU129"/>
      <c r="HV129"/>
      <c r="HW129"/>
      <c r="HX129"/>
      <c r="HY129"/>
      <c r="HZ129"/>
      <c r="IA129"/>
      <c r="IB129"/>
      <c r="IC129"/>
      <c r="ID129"/>
      <c r="IE129"/>
      <c r="IF129"/>
      <c r="IG129"/>
      <c r="IH129"/>
      <c r="II129"/>
      <c r="IJ129"/>
      <c r="IK129"/>
      <c r="IL129"/>
      <c r="IM129"/>
      <c r="IN129"/>
      <c r="IO129"/>
      <c r="IP129"/>
      <c r="IQ129"/>
      <c r="IR129"/>
      <c r="IS129"/>
      <c r="IT129"/>
      <c r="IU129"/>
      <c r="IV129"/>
      <c r="IW129"/>
      <c r="IX129"/>
      <c r="IY129"/>
      <c r="IZ129"/>
      <c r="JA129"/>
      <c r="JB129"/>
      <c r="JC129"/>
      <c r="JD129"/>
      <c r="JE129"/>
      <c r="JF129"/>
      <c r="JG129"/>
      <c r="JH129"/>
      <c r="JI129"/>
      <c r="JJ129"/>
      <c r="JK129"/>
      <c r="JL129"/>
      <c r="JM129"/>
      <c r="JN129"/>
      <c r="JO129"/>
      <c r="JP129"/>
      <c r="JQ129"/>
      <c r="JR129"/>
      <c r="JS129"/>
      <c r="JT129"/>
      <c r="JU129"/>
      <c r="JV129"/>
      <c r="JW129"/>
      <c r="JX129"/>
      <c r="JY129"/>
      <c r="JZ129"/>
      <c r="KA129"/>
      <c r="KB129"/>
      <c r="KC129"/>
      <c r="KD129"/>
      <c r="KE129"/>
      <c r="KF129"/>
      <c r="KG129"/>
      <c r="KH129"/>
      <c r="KI129"/>
      <c r="KJ129"/>
      <c r="KK129"/>
      <c r="KL129"/>
      <c r="KM129"/>
      <c r="KN129"/>
      <c r="KO129"/>
      <c r="KP129"/>
      <c r="KQ129"/>
      <c r="KR129"/>
      <c r="KS129"/>
    </row>
    <row r="130" spans="2:305" hidden="1" x14ac:dyDescent="0.25">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c r="FX130"/>
      <c r="FY130"/>
      <c r="FZ130"/>
      <c r="GA130"/>
      <c r="GB130"/>
      <c r="GC130"/>
      <c r="GD130"/>
      <c r="GE130"/>
      <c r="GF130"/>
      <c r="GG130"/>
      <c r="GH130"/>
      <c r="GI130"/>
      <c r="GJ130"/>
      <c r="GK130"/>
      <c r="GL130"/>
      <c r="GM130"/>
      <c r="GN130"/>
      <c r="GO130"/>
      <c r="GP130"/>
      <c r="GQ130"/>
      <c r="GR130"/>
      <c r="GS130"/>
      <c r="GT130"/>
      <c r="GU130"/>
      <c r="GV130"/>
      <c r="GW130"/>
      <c r="GX130"/>
      <c r="GY130"/>
      <c r="GZ130"/>
      <c r="HA130"/>
      <c r="HB130"/>
      <c r="HC130"/>
      <c r="HD130"/>
      <c r="HE130"/>
      <c r="HF130"/>
      <c r="HG130"/>
      <c r="HH130"/>
      <c r="HI130"/>
      <c r="HJ130"/>
      <c r="HK130"/>
      <c r="HL130"/>
      <c r="HM130"/>
      <c r="HN130"/>
      <c r="HO130"/>
      <c r="HP130"/>
      <c r="HQ130"/>
      <c r="HR130"/>
      <c r="HS130"/>
      <c r="HT130"/>
      <c r="HU130"/>
      <c r="HV130"/>
      <c r="HW130"/>
      <c r="HX130"/>
      <c r="HY130"/>
      <c r="HZ130"/>
      <c r="IA130"/>
      <c r="IB130"/>
      <c r="IC130"/>
      <c r="ID130"/>
      <c r="IE130"/>
      <c r="IF130"/>
      <c r="IG130"/>
      <c r="IH130"/>
      <c r="II130"/>
      <c r="IJ130"/>
      <c r="IK130"/>
      <c r="IL130"/>
      <c r="IM130"/>
      <c r="IN130"/>
      <c r="IO130"/>
      <c r="IP130"/>
      <c r="IQ130"/>
      <c r="IR130"/>
      <c r="IS130"/>
      <c r="IT130"/>
      <c r="IU130"/>
      <c r="IV130"/>
      <c r="IW130"/>
      <c r="IX130"/>
      <c r="IY130"/>
      <c r="IZ130"/>
      <c r="JA130"/>
      <c r="JB130"/>
      <c r="JC130"/>
      <c r="JD130"/>
      <c r="JE130"/>
      <c r="JF130"/>
      <c r="JG130"/>
      <c r="JH130"/>
      <c r="JI130"/>
      <c r="JJ130"/>
      <c r="JK130"/>
      <c r="JL130"/>
      <c r="JM130"/>
      <c r="JN130"/>
      <c r="JO130"/>
      <c r="JP130"/>
      <c r="JQ130"/>
      <c r="JR130"/>
      <c r="JS130"/>
      <c r="JT130"/>
      <c r="JU130"/>
      <c r="JV130"/>
      <c r="JW130"/>
      <c r="JX130"/>
      <c r="JY130"/>
      <c r="JZ130"/>
      <c r="KA130"/>
      <c r="KB130"/>
      <c r="KC130"/>
      <c r="KD130"/>
      <c r="KE130"/>
      <c r="KF130"/>
      <c r="KG130"/>
      <c r="KH130"/>
      <c r="KI130"/>
      <c r="KJ130"/>
      <c r="KK130"/>
      <c r="KL130"/>
      <c r="KM130"/>
      <c r="KN130"/>
      <c r="KO130"/>
      <c r="KP130"/>
      <c r="KQ130"/>
      <c r="KR130"/>
      <c r="KS130"/>
    </row>
    <row r="131" spans="2:305" hidden="1" x14ac:dyDescent="0.25">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c r="GS131"/>
      <c r="GT131"/>
      <c r="GU131"/>
      <c r="GV131"/>
      <c r="GW131"/>
      <c r="GX131"/>
      <c r="GY131"/>
      <c r="GZ131"/>
      <c r="HA131"/>
      <c r="HB131"/>
      <c r="HC131"/>
      <c r="HD131"/>
      <c r="HE131"/>
      <c r="HF131"/>
      <c r="HG131"/>
      <c r="HH131"/>
      <c r="HI131"/>
      <c r="HJ131"/>
      <c r="HK131"/>
      <c r="HL131"/>
      <c r="HM131"/>
      <c r="HN131"/>
      <c r="HO131"/>
      <c r="HP131"/>
      <c r="HQ131"/>
      <c r="HR131"/>
      <c r="HS131"/>
      <c r="HT131"/>
      <c r="HU131"/>
      <c r="HV131"/>
      <c r="HW131"/>
      <c r="HX131"/>
      <c r="HY131"/>
      <c r="HZ131"/>
      <c r="IA131"/>
      <c r="IB131"/>
      <c r="IC131"/>
      <c r="ID131"/>
      <c r="IE131"/>
      <c r="IF131"/>
      <c r="IG131"/>
      <c r="IH131"/>
      <c r="II131"/>
      <c r="IJ131"/>
      <c r="IK131"/>
      <c r="IL131"/>
      <c r="IM131"/>
      <c r="IN131"/>
      <c r="IO131"/>
      <c r="IP131"/>
      <c r="IQ131"/>
      <c r="IR131"/>
      <c r="IS131"/>
      <c r="IT131"/>
      <c r="IU131"/>
      <c r="IV131"/>
      <c r="IW131"/>
      <c r="IX131"/>
      <c r="IY131"/>
      <c r="IZ131"/>
      <c r="JA131"/>
      <c r="JB131"/>
      <c r="JC131"/>
      <c r="JD131"/>
      <c r="JE131"/>
      <c r="JF131"/>
      <c r="JG131"/>
      <c r="JH131"/>
      <c r="JI131"/>
      <c r="JJ131"/>
      <c r="JK131"/>
      <c r="JL131"/>
      <c r="JM131"/>
      <c r="JN131"/>
      <c r="JO131"/>
      <c r="JP131"/>
      <c r="JQ131"/>
      <c r="JR131"/>
      <c r="JS131"/>
      <c r="JT131"/>
      <c r="JU131"/>
      <c r="JV131"/>
      <c r="JW131"/>
      <c r="JX131"/>
      <c r="JY131"/>
      <c r="JZ131"/>
      <c r="KA131"/>
      <c r="KB131"/>
      <c r="KC131"/>
      <c r="KD131"/>
      <c r="KE131"/>
      <c r="KF131"/>
      <c r="KG131"/>
      <c r="KH131"/>
      <c r="KI131"/>
      <c r="KJ131"/>
      <c r="KK131"/>
      <c r="KL131"/>
      <c r="KM131"/>
      <c r="KN131"/>
      <c r="KO131"/>
      <c r="KP131"/>
      <c r="KQ131"/>
      <c r="KR131"/>
      <c r="KS131"/>
    </row>
    <row r="132" spans="2:305" hidden="1" x14ac:dyDescent="0.25">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c r="GQ132"/>
      <c r="GR132"/>
      <c r="GS132"/>
      <c r="GT132"/>
      <c r="GU132"/>
      <c r="GV132"/>
      <c r="GW132"/>
      <c r="GX132"/>
      <c r="GY132"/>
      <c r="GZ132"/>
      <c r="HA132"/>
      <c r="HB132"/>
      <c r="HC132"/>
      <c r="HD132"/>
      <c r="HE132"/>
      <c r="HF132"/>
      <c r="HG132"/>
      <c r="HH132"/>
      <c r="HI132"/>
      <c r="HJ132"/>
      <c r="HK132"/>
      <c r="HL132"/>
      <c r="HM132"/>
      <c r="HN132"/>
      <c r="HO132"/>
      <c r="HP132"/>
      <c r="HQ132"/>
      <c r="HR132"/>
      <c r="HS132"/>
      <c r="HT132"/>
      <c r="HU132"/>
      <c r="HV132"/>
      <c r="HW132"/>
      <c r="HX132"/>
      <c r="HY132"/>
      <c r="HZ132"/>
      <c r="IA132"/>
      <c r="IB132"/>
      <c r="IC132"/>
      <c r="ID132"/>
      <c r="IE132"/>
      <c r="IF132"/>
      <c r="IG132"/>
      <c r="IH132"/>
      <c r="II132"/>
      <c r="IJ132"/>
      <c r="IK132"/>
      <c r="IL132"/>
      <c r="IM132"/>
      <c r="IN132"/>
      <c r="IO132"/>
      <c r="IP132"/>
      <c r="IQ132"/>
      <c r="IR132"/>
      <c r="IS132"/>
      <c r="IT132"/>
      <c r="IU132"/>
      <c r="IV132"/>
      <c r="IW132"/>
      <c r="IX132"/>
      <c r="IY132"/>
      <c r="IZ132"/>
      <c r="JA132"/>
      <c r="JB132"/>
      <c r="JC132"/>
      <c r="JD132"/>
      <c r="JE132"/>
      <c r="JF132"/>
      <c r="JG132"/>
      <c r="JH132"/>
      <c r="JI132"/>
      <c r="JJ132"/>
      <c r="JK132"/>
      <c r="JL132"/>
      <c r="JM132"/>
      <c r="JN132"/>
      <c r="JO132"/>
      <c r="JP132"/>
      <c r="JQ132"/>
      <c r="JR132"/>
      <c r="JS132"/>
      <c r="JT132"/>
      <c r="JU132"/>
      <c r="JV132"/>
      <c r="JW132"/>
      <c r="JX132"/>
      <c r="JY132"/>
      <c r="JZ132"/>
      <c r="KA132"/>
      <c r="KB132"/>
      <c r="KC132"/>
      <c r="KD132"/>
      <c r="KE132"/>
      <c r="KF132"/>
      <c r="KG132"/>
      <c r="KH132"/>
      <c r="KI132"/>
      <c r="KJ132"/>
      <c r="KK132"/>
      <c r="KL132"/>
      <c r="KM132"/>
      <c r="KN132"/>
      <c r="KO132"/>
      <c r="KP132"/>
      <c r="KQ132"/>
      <c r="KR132"/>
      <c r="KS132"/>
    </row>
    <row r="133" spans="2:305" hidden="1" x14ac:dyDescent="0.25">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c r="GQ133"/>
      <c r="GR133"/>
      <c r="GS133"/>
      <c r="GT133"/>
      <c r="GU133"/>
      <c r="GV133"/>
      <c r="GW133"/>
      <c r="GX133"/>
      <c r="GY133"/>
      <c r="GZ133"/>
      <c r="HA133"/>
      <c r="HB133"/>
      <c r="HC133"/>
      <c r="HD133"/>
      <c r="HE133"/>
      <c r="HF133"/>
      <c r="HG133"/>
      <c r="HH133"/>
      <c r="HI133"/>
      <c r="HJ133"/>
      <c r="HK133"/>
      <c r="HL133"/>
      <c r="HM133"/>
      <c r="HN133"/>
      <c r="HO133"/>
      <c r="HP133"/>
      <c r="HQ133"/>
      <c r="HR133"/>
      <c r="HS133"/>
      <c r="HT133"/>
      <c r="HU133"/>
      <c r="HV133"/>
      <c r="HW133"/>
      <c r="HX133"/>
      <c r="HY133"/>
      <c r="HZ133"/>
      <c r="IA133"/>
      <c r="IB133"/>
      <c r="IC133"/>
      <c r="ID133"/>
      <c r="IE133"/>
      <c r="IF133"/>
      <c r="IG133"/>
      <c r="IH133"/>
      <c r="II133"/>
      <c r="IJ133"/>
      <c r="IK133"/>
      <c r="IL133"/>
      <c r="IM133"/>
      <c r="IN133"/>
      <c r="IO133"/>
      <c r="IP133"/>
      <c r="IQ133"/>
      <c r="IR133"/>
      <c r="IS133"/>
      <c r="IT133"/>
      <c r="IU133"/>
      <c r="IV133"/>
      <c r="IW133"/>
      <c r="IX133"/>
      <c r="IY133"/>
      <c r="IZ133"/>
      <c r="JA133"/>
      <c r="JB133"/>
      <c r="JC133"/>
      <c r="JD133"/>
      <c r="JE133"/>
      <c r="JF133"/>
      <c r="JG133"/>
      <c r="JH133"/>
      <c r="JI133"/>
      <c r="JJ133"/>
      <c r="JK133"/>
      <c r="JL133"/>
      <c r="JM133"/>
      <c r="JN133"/>
      <c r="JO133"/>
      <c r="JP133"/>
      <c r="JQ133"/>
      <c r="JR133"/>
      <c r="JS133"/>
      <c r="JT133"/>
      <c r="JU133"/>
      <c r="JV133"/>
      <c r="JW133"/>
      <c r="JX133"/>
      <c r="JY133"/>
      <c r="JZ133"/>
      <c r="KA133"/>
      <c r="KB133"/>
      <c r="KC133"/>
      <c r="KD133"/>
      <c r="KE133"/>
      <c r="KF133"/>
      <c r="KG133"/>
      <c r="KH133"/>
      <c r="KI133"/>
      <c r="KJ133"/>
      <c r="KK133"/>
      <c r="KL133"/>
      <c r="KM133"/>
      <c r="KN133"/>
      <c r="KO133"/>
      <c r="KP133"/>
      <c r="KQ133"/>
      <c r="KR133"/>
      <c r="KS133"/>
    </row>
    <row r="134" spans="2:305" hidden="1" x14ac:dyDescent="0.25">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c r="HB134"/>
      <c r="HC134"/>
      <c r="HD134"/>
      <c r="HE134"/>
      <c r="HF134"/>
      <c r="HG134"/>
      <c r="HH134"/>
      <c r="HI134"/>
      <c r="HJ134"/>
      <c r="HK134"/>
      <c r="HL134"/>
      <c r="HM134"/>
      <c r="HN134"/>
      <c r="HO134"/>
      <c r="HP134"/>
      <c r="HQ134"/>
      <c r="HR134"/>
      <c r="HS134"/>
      <c r="HT134"/>
      <c r="HU134"/>
      <c r="HV134"/>
      <c r="HW134"/>
      <c r="HX134"/>
      <c r="HY134"/>
      <c r="HZ134"/>
      <c r="IA134"/>
      <c r="IB134"/>
      <c r="IC134"/>
      <c r="ID134"/>
      <c r="IE134"/>
      <c r="IF134"/>
      <c r="IG134"/>
      <c r="IH134"/>
      <c r="II134"/>
      <c r="IJ134"/>
      <c r="IK134"/>
      <c r="IL134"/>
      <c r="IM134"/>
      <c r="IN134"/>
      <c r="IO134"/>
      <c r="IP134"/>
      <c r="IQ134"/>
      <c r="IR134"/>
      <c r="IS134"/>
      <c r="IT134"/>
      <c r="IU134"/>
      <c r="IV134"/>
      <c r="IW134"/>
      <c r="IX134"/>
      <c r="IY134"/>
      <c r="IZ134"/>
      <c r="JA134"/>
      <c r="JB134"/>
      <c r="JC134"/>
      <c r="JD134"/>
      <c r="JE134"/>
      <c r="JF134"/>
      <c r="JG134"/>
      <c r="JH134"/>
      <c r="JI134"/>
      <c r="JJ134"/>
      <c r="JK134"/>
      <c r="JL134"/>
      <c r="JM134"/>
      <c r="JN134"/>
      <c r="JO134"/>
      <c r="JP134"/>
      <c r="JQ134"/>
      <c r="JR134"/>
      <c r="JS134"/>
      <c r="JT134"/>
      <c r="JU134"/>
      <c r="JV134"/>
      <c r="JW134"/>
      <c r="JX134"/>
      <c r="JY134"/>
      <c r="JZ134"/>
      <c r="KA134"/>
      <c r="KB134"/>
      <c r="KC134"/>
      <c r="KD134"/>
      <c r="KE134"/>
      <c r="KF134"/>
      <c r="KG134"/>
      <c r="KH134"/>
      <c r="KI134"/>
      <c r="KJ134"/>
      <c r="KK134"/>
      <c r="KL134"/>
      <c r="KM134"/>
      <c r="KN134"/>
      <c r="KO134"/>
      <c r="KP134"/>
      <c r="KQ134"/>
      <c r="KR134"/>
      <c r="KS134"/>
    </row>
    <row r="135" spans="2:305" hidden="1" x14ac:dyDescent="0.2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c r="HB135"/>
      <c r="HC135"/>
      <c r="HD135"/>
      <c r="HE135"/>
      <c r="HF135"/>
      <c r="HG135"/>
      <c r="HH135"/>
      <c r="HI135"/>
      <c r="HJ135"/>
      <c r="HK135"/>
      <c r="HL135"/>
      <c r="HM135"/>
      <c r="HN135"/>
      <c r="HO135"/>
      <c r="HP135"/>
      <c r="HQ135"/>
      <c r="HR135"/>
      <c r="HS135"/>
      <c r="HT135"/>
      <c r="HU135"/>
      <c r="HV135"/>
      <c r="HW135"/>
      <c r="HX135"/>
      <c r="HY135"/>
      <c r="HZ135"/>
      <c r="IA135"/>
      <c r="IB135"/>
      <c r="IC135"/>
      <c r="ID135"/>
      <c r="IE135"/>
      <c r="IF135"/>
      <c r="IG135"/>
      <c r="IH135"/>
      <c r="II135"/>
      <c r="IJ135"/>
      <c r="IK135"/>
      <c r="IL135"/>
      <c r="IM135"/>
      <c r="IN135"/>
      <c r="IO135"/>
      <c r="IP135"/>
      <c r="IQ135"/>
      <c r="IR135"/>
      <c r="IS135"/>
      <c r="IT135"/>
      <c r="IU135"/>
      <c r="IV135"/>
      <c r="IW135"/>
      <c r="IX135"/>
      <c r="IY135"/>
      <c r="IZ135"/>
      <c r="JA135"/>
      <c r="JB135"/>
      <c r="JC135"/>
      <c r="JD135"/>
      <c r="JE135"/>
      <c r="JF135"/>
      <c r="JG135"/>
      <c r="JH135"/>
      <c r="JI135"/>
      <c r="JJ135"/>
      <c r="JK135"/>
      <c r="JL135"/>
      <c r="JM135"/>
      <c r="JN135"/>
      <c r="JO135"/>
      <c r="JP135"/>
      <c r="JQ135"/>
      <c r="JR135"/>
      <c r="JS135"/>
      <c r="JT135"/>
      <c r="JU135"/>
      <c r="JV135"/>
      <c r="JW135"/>
      <c r="JX135"/>
      <c r="JY135"/>
      <c r="JZ135"/>
      <c r="KA135"/>
      <c r="KB135"/>
      <c r="KC135"/>
      <c r="KD135"/>
      <c r="KE135"/>
      <c r="KF135"/>
      <c r="KG135"/>
      <c r="KH135"/>
      <c r="KI135"/>
      <c r="KJ135"/>
      <c r="KK135"/>
      <c r="KL135"/>
      <c r="KM135"/>
      <c r="KN135"/>
      <c r="KO135"/>
      <c r="KP135"/>
      <c r="KQ135"/>
      <c r="KR135"/>
      <c r="KS135"/>
    </row>
    <row r="136" spans="2:305" hidden="1" x14ac:dyDescent="0.25">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c r="GQ136"/>
      <c r="GR136"/>
      <c r="GS136"/>
      <c r="GT136"/>
      <c r="GU136"/>
      <c r="GV136"/>
      <c r="GW136"/>
      <c r="GX136"/>
      <c r="GY136"/>
      <c r="GZ136"/>
      <c r="HA136"/>
      <c r="HB136"/>
      <c r="HC136"/>
      <c r="HD136"/>
      <c r="HE136"/>
      <c r="HF136"/>
      <c r="HG136"/>
      <c r="HH136"/>
      <c r="HI136"/>
      <c r="HJ136"/>
      <c r="HK136"/>
      <c r="HL136"/>
      <c r="HM136"/>
      <c r="HN136"/>
      <c r="HO136"/>
      <c r="HP136"/>
      <c r="HQ136"/>
      <c r="HR136"/>
      <c r="HS136"/>
      <c r="HT136"/>
      <c r="HU136"/>
      <c r="HV136"/>
      <c r="HW136"/>
      <c r="HX136"/>
      <c r="HY136"/>
      <c r="HZ136"/>
      <c r="IA136"/>
      <c r="IB136"/>
      <c r="IC136"/>
      <c r="ID136"/>
      <c r="IE136"/>
      <c r="IF136"/>
      <c r="IG136"/>
      <c r="IH136"/>
      <c r="II136"/>
      <c r="IJ136"/>
      <c r="IK136"/>
      <c r="IL136"/>
      <c r="IM136"/>
      <c r="IN136"/>
      <c r="IO136"/>
      <c r="IP136"/>
      <c r="IQ136"/>
      <c r="IR136"/>
      <c r="IS136"/>
      <c r="IT136"/>
      <c r="IU136"/>
      <c r="IV136"/>
      <c r="IW136"/>
      <c r="IX136"/>
      <c r="IY136"/>
      <c r="IZ136"/>
      <c r="JA136"/>
      <c r="JB136"/>
      <c r="JC136"/>
      <c r="JD136"/>
      <c r="JE136"/>
      <c r="JF136"/>
      <c r="JG136"/>
      <c r="JH136"/>
      <c r="JI136"/>
      <c r="JJ136"/>
      <c r="JK136"/>
      <c r="JL136"/>
      <c r="JM136"/>
      <c r="JN136"/>
      <c r="JO136"/>
      <c r="JP136"/>
      <c r="JQ136"/>
      <c r="JR136"/>
      <c r="JS136"/>
      <c r="JT136"/>
      <c r="JU136"/>
      <c r="JV136"/>
      <c r="JW136"/>
      <c r="JX136"/>
      <c r="JY136"/>
      <c r="JZ136"/>
      <c r="KA136"/>
      <c r="KB136"/>
      <c r="KC136"/>
      <c r="KD136"/>
      <c r="KE136"/>
      <c r="KF136"/>
      <c r="KG136"/>
      <c r="KH136"/>
      <c r="KI136"/>
      <c r="KJ136"/>
      <c r="KK136"/>
      <c r="KL136"/>
      <c r="KM136"/>
      <c r="KN136"/>
      <c r="KO136"/>
      <c r="KP136"/>
      <c r="KQ136"/>
      <c r="KR136"/>
      <c r="KS136"/>
    </row>
    <row r="137" spans="2:305" hidden="1" x14ac:dyDescent="0.25">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c r="FX137"/>
      <c r="FY137"/>
      <c r="FZ137"/>
      <c r="GA137"/>
      <c r="GB137"/>
      <c r="GC137"/>
      <c r="GD137"/>
      <c r="GE137"/>
      <c r="GF137"/>
      <c r="GG137"/>
      <c r="GH137"/>
      <c r="GI137"/>
      <c r="GJ137"/>
      <c r="GK137"/>
      <c r="GL137"/>
      <c r="GM137"/>
      <c r="GN137"/>
      <c r="GO137"/>
      <c r="GP137"/>
      <c r="GQ137"/>
      <c r="GR137"/>
      <c r="GS137"/>
      <c r="GT137"/>
      <c r="GU137"/>
      <c r="GV137"/>
      <c r="GW137"/>
      <c r="GX137"/>
      <c r="GY137"/>
      <c r="GZ137"/>
      <c r="HA137"/>
      <c r="HB137"/>
      <c r="HC137"/>
      <c r="HD137"/>
      <c r="HE137"/>
      <c r="HF137"/>
      <c r="HG137"/>
      <c r="HH137"/>
      <c r="HI137"/>
      <c r="HJ137"/>
      <c r="HK137"/>
      <c r="HL137"/>
      <c r="HM137"/>
      <c r="HN137"/>
      <c r="HO137"/>
      <c r="HP137"/>
      <c r="HQ137"/>
      <c r="HR137"/>
      <c r="HS137"/>
      <c r="HT137"/>
      <c r="HU137"/>
      <c r="HV137"/>
      <c r="HW137"/>
      <c r="HX137"/>
      <c r="HY137"/>
      <c r="HZ137"/>
      <c r="IA137"/>
      <c r="IB137"/>
      <c r="IC137"/>
      <c r="ID137"/>
      <c r="IE137"/>
      <c r="IF137"/>
      <c r="IG137"/>
      <c r="IH137"/>
      <c r="II137"/>
      <c r="IJ137"/>
      <c r="IK137"/>
      <c r="IL137"/>
      <c r="IM137"/>
      <c r="IN137"/>
      <c r="IO137"/>
      <c r="IP137"/>
      <c r="IQ137"/>
      <c r="IR137"/>
      <c r="IS137"/>
      <c r="IT137"/>
      <c r="IU137"/>
      <c r="IV137"/>
      <c r="IW137"/>
      <c r="IX137"/>
      <c r="IY137"/>
      <c r="IZ137"/>
      <c r="JA137"/>
      <c r="JB137"/>
      <c r="JC137"/>
      <c r="JD137"/>
      <c r="JE137"/>
      <c r="JF137"/>
      <c r="JG137"/>
      <c r="JH137"/>
      <c r="JI137"/>
      <c r="JJ137"/>
      <c r="JK137"/>
      <c r="JL137"/>
      <c r="JM137"/>
      <c r="JN137"/>
      <c r="JO137"/>
      <c r="JP137"/>
      <c r="JQ137"/>
      <c r="JR137"/>
      <c r="JS137"/>
      <c r="JT137"/>
      <c r="JU137"/>
      <c r="JV137"/>
      <c r="JW137"/>
      <c r="JX137"/>
      <c r="JY137"/>
      <c r="JZ137"/>
      <c r="KA137"/>
      <c r="KB137"/>
      <c r="KC137"/>
      <c r="KD137"/>
      <c r="KE137"/>
      <c r="KF137"/>
      <c r="KG137"/>
      <c r="KH137"/>
      <c r="KI137"/>
      <c r="KJ137"/>
      <c r="KK137"/>
      <c r="KL137"/>
      <c r="KM137"/>
      <c r="KN137"/>
      <c r="KO137"/>
      <c r="KP137"/>
      <c r="KQ137"/>
      <c r="KR137"/>
      <c r="KS137"/>
    </row>
    <row r="138" spans="2:305" hidden="1" x14ac:dyDescent="0.25">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c r="FQ138"/>
      <c r="FR138"/>
      <c r="FS138"/>
      <c r="FT138"/>
      <c r="FU138"/>
      <c r="FV138"/>
      <c r="FW138"/>
      <c r="FX138"/>
      <c r="FY138"/>
      <c r="FZ138"/>
      <c r="GA138"/>
      <c r="GB138"/>
      <c r="GC138"/>
      <c r="GD138"/>
      <c r="GE138"/>
      <c r="GF138"/>
      <c r="GG138"/>
      <c r="GH138"/>
      <c r="GI138"/>
      <c r="GJ138"/>
      <c r="GK138"/>
      <c r="GL138"/>
      <c r="GM138"/>
      <c r="GN138"/>
      <c r="GO138"/>
      <c r="GP138"/>
      <c r="GQ138"/>
      <c r="GR138"/>
      <c r="GS138"/>
      <c r="GT138"/>
      <c r="GU138"/>
      <c r="GV138"/>
      <c r="GW138"/>
      <c r="GX138"/>
      <c r="GY138"/>
      <c r="GZ138"/>
      <c r="HA138"/>
      <c r="HB138"/>
      <c r="HC138"/>
      <c r="HD138"/>
      <c r="HE138"/>
      <c r="HF138"/>
      <c r="HG138"/>
      <c r="HH138"/>
      <c r="HI138"/>
      <c r="HJ138"/>
      <c r="HK138"/>
      <c r="HL138"/>
      <c r="HM138"/>
      <c r="HN138"/>
      <c r="HO138"/>
      <c r="HP138"/>
      <c r="HQ138"/>
      <c r="HR138"/>
      <c r="HS138"/>
      <c r="HT138"/>
      <c r="HU138"/>
      <c r="HV138"/>
      <c r="HW138"/>
      <c r="HX138"/>
      <c r="HY138"/>
      <c r="HZ138"/>
      <c r="IA138"/>
      <c r="IB138"/>
      <c r="IC138"/>
      <c r="ID138"/>
      <c r="IE138"/>
      <c r="IF138"/>
      <c r="IG138"/>
      <c r="IH138"/>
      <c r="II138"/>
      <c r="IJ138"/>
      <c r="IK138"/>
      <c r="IL138"/>
      <c r="IM138"/>
      <c r="IN138"/>
      <c r="IO138"/>
      <c r="IP138"/>
      <c r="IQ138"/>
      <c r="IR138"/>
      <c r="IS138"/>
      <c r="IT138"/>
      <c r="IU138"/>
      <c r="IV138"/>
      <c r="IW138"/>
      <c r="IX138"/>
      <c r="IY138"/>
      <c r="IZ138"/>
      <c r="JA138"/>
      <c r="JB138"/>
      <c r="JC138"/>
      <c r="JD138"/>
      <c r="JE138"/>
      <c r="JF138"/>
      <c r="JG138"/>
      <c r="JH138"/>
      <c r="JI138"/>
      <c r="JJ138"/>
      <c r="JK138"/>
      <c r="JL138"/>
      <c r="JM138"/>
      <c r="JN138"/>
      <c r="JO138"/>
      <c r="JP138"/>
      <c r="JQ138"/>
      <c r="JR138"/>
      <c r="JS138"/>
      <c r="JT138"/>
      <c r="JU138"/>
      <c r="JV138"/>
      <c r="JW138"/>
      <c r="JX138"/>
      <c r="JY138"/>
      <c r="JZ138"/>
      <c r="KA138"/>
      <c r="KB138"/>
      <c r="KC138"/>
      <c r="KD138"/>
      <c r="KE138"/>
      <c r="KF138"/>
      <c r="KG138"/>
      <c r="KH138"/>
      <c r="KI138"/>
      <c r="KJ138"/>
      <c r="KK138"/>
      <c r="KL138"/>
      <c r="KM138"/>
      <c r="KN138"/>
      <c r="KO138"/>
      <c r="KP138"/>
      <c r="KQ138"/>
      <c r="KR138"/>
      <c r="KS138"/>
    </row>
    <row r="139" spans="2:305" hidden="1" x14ac:dyDescent="0.25">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c r="FX139"/>
      <c r="FY139"/>
      <c r="FZ139"/>
      <c r="GA139"/>
      <c r="GB139"/>
      <c r="GC139"/>
      <c r="GD139"/>
      <c r="GE139"/>
      <c r="GF139"/>
      <c r="GG139"/>
      <c r="GH139"/>
      <c r="GI139"/>
      <c r="GJ139"/>
      <c r="GK139"/>
      <c r="GL139"/>
      <c r="GM139"/>
      <c r="GN139"/>
      <c r="GO139"/>
      <c r="GP139"/>
      <c r="GQ139"/>
      <c r="GR139"/>
      <c r="GS139"/>
      <c r="GT139"/>
      <c r="GU139"/>
      <c r="GV139"/>
      <c r="GW139"/>
      <c r="GX139"/>
      <c r="GY139"/>
      <c r="GZ139"/>
      <c r="HA139"/>
      <c r="HB139"/>
      <c r="HC139"/>
      <c r="HD139"/>
      <c r="HE139"/>
      <c r="HF139"/>
      <c r="HG139"/>
      <c r="HH139"/>
      <c r="HI139"/>
      <c r="HJ139"/>
      <c r="HK139"/>
      <c r="HL139"/>
      <c r="HM139"/>
      <c r="HN139"/>
      <c r="HO139"/>
      <c r="HP139"/>
      <c r="HQ139"/>
      <c r="HR139"/>
      <c r="HS139"/>
      <c r="HT139"/>
      <c r="HU139"/>
      <c r="HV139"/>
      <c r="HW139"/>
      <c r="HX139"/>
      <c r="HY139"/>
      <c r="HZ139"/>
      <c r="IA139"/>
      <c r="IB139"/>
      <c r="IC139"/>
      <c r="ID139"/>
      <c r="IE139"/>
      <c r="IF139"/>
      <c r="IG139"/>
      <c r="IH139"/>
      <c r="II139"/>
      <c r="IJ139"/>
      <c r="IK139"/>
      <c r="IL139"/>
      <c r="IM139"/>
      <c r="IN139"/>
      <c r="IO139"/>
      <c r="IP139"/>
      <c r="IQ139"/>
      <c r="IR139"/>
      <c r="IS139"/>
      <c r="IT139"/>
      <c r="IU139"/>
      <c r="IV139"/>
      <c r="IW139"/>
      <c r="IX139"/>
      <c r="IY139"/>
      <c r="IZ139"/>
      <c r="JA139"/>
      <c r="JB139"/>
      <c r="JC139"/>
      <c r="JD139"/>
      <c r="JE139"/>
      <c r="JF139"/>
      <c r="JG139"/>
      <c r="JH139"/>
      <c r="JI139"/>
      <c r="JJ139"/>
      <c r="JK139"/>
      <c r="JL139"/>
      <c r="JM139"/>
      <c r="JN139"/>
      <c r="JO139"/>
      <c r="JP139"/>
      <c r="JQ139"/>
      <c r="JR139"/>
      <c r="JS139"/>
      <c r="JT139"/>
      <c r="JU139"/>
      <c r="JV139"/>
      <c r="JW139"/>
      <c r="JX139"/>
      <c r="JY139"/>
      <c r="JZ139"/>
      <c r="KA139"/>
      <c r="KB139"/>
      <c r="KC139"/>
      <c r="KD139"/>
      <c r="KE139"/>
      <c r="KF139"/>
      <c r="KG139"/>
      <c r="KH139"/>
      <c r="KI139"/>
      <c r="KJ139"/>
      <c r="KK139"/>
      <c r="KL139"/>
      <c r="KM139"/>
      <c r="KN139"/>
      <c r="KO139"/>
      <c r="KP139"/>
      <c r="KQ139"/>
      <c r="KR139"/>
      <c r="KS139"/>
    </row>
    <row r="140" spans="2:305" hidden="1" x14ac:dyDescent="0.25">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c r="FX140"/>
      <c r="FY140"/>
      <c r="FZ140"/>
      <c r="GA140"/>
      <c r="GB140"/>
      <c r="GC140"/>
      <c r="GD140"/>
      <c r="GE140"/>
      <c r="GF140"/>
      <c r="GG140"/>
      <c r="GH140"/>
      <c r="GI140"/>
      <c r="GJ140"/>
      <c r="GK140"/>
      <c r="GL140"/>
      <c r="GM140"/>
      <c r="GN140"/>
      <c r="GO140"/>
      <c r="GP140"/>
      <c r="GQ140"/>
      <c r="GR140"/>
      <c r="GS140"/>
      <c r="GT140"/>
      <c r="GU140"/>
      <c r="GV140"/>
      <c r="GW140"/>
      <c r="GX140"/>
      <c r="GY140"/>
      <c r="GZ140"/>
      <c r="HA140"/>
      <c r="HB140"/>
      <c r="HC140"/>
      <c r="HD140"/>
      <c r="HE140"/>
      <c r="HF140"/>
      <c r="HG140"/>
      <c r="HH140"/>
      <c r="HI140"/>
      <c r="HJ140"/>
      <c r="HK140"/>
      <c r="HL140"/>
      <c r="HM140"/>
      <c r="HN140"/>
      <c r="HO140"/>
      <c r="HP140"/>
      <c r="HQ140"/>
      <c r="HR140"/>
      <c r="HS140"/>
      <c r="HT140"/>
      <c r="HU140"/>
      <c r="HV140"/>
      <c r="HW140"/>
      <c r="HX140"/>
      <c r="HY140"/>
      <c r="HZ140"/>
      <c r="IA140"/>
      <c r="IB140"/>
      <c r="IC140"/>
      <c r="ID140"/>
      <c r="IE140"/>
      <c r="IF140"/>
      <c r="IG140"/>
      <c r="IH140"/>
      <c r="II140"/>
      <c r="IJ140"/>
      <c r="IK140"/>
      <c r="IL140"/>
      <c r="IM140"/>
      <c r="IN140"/>
      <c r="IO140"/>
      <c r="IP140"/>
      <c r="IQ140"/>
      <c r="IR140"/>
      <c r="IS140"/>
      <c r="IT140"/>
      <c r="IU140"/>
      <c r="IV140"/>
      <c r="IW140"/>
      <c r="IX140"/>
      <c r="IY140"/>
      <c r="IZ140"/>
      <c r="JA140"/>
      <c r="JB140"/>
      <c r="JC140"/>
      <c r="JD140"/>
      <c r="JE140"/>
      <c r="JF140"/>
      <c r="JG140"/>
      <c r="JH140"/>
      <c r="JI140"/>
      <c r="JJ140"/>
      <c r="JK140"/>
      <c r="JL140"/>
      <c r="JM140"/>
      <c r="JN140"/>
      <c r="JO140"/>
      <c r="JP140"/>
      <c r="JQ140"/>
      <c r="JR140"/>
      <c r="JS140"/>
      <c r="JT140"/>
      <c r="JU140"/>
      <c r="JV140"/>
      <c r="JW140"/>
      <c r="JX140"/>
      <c r="JY140"/>
      <c r="JZ140"/>
      <c r="KA140"/>
      <c r="KB140"/>
      <c r="KC140"/>
      <c r="KD140"/>
      <c r="KE140"/>
      <c r="KF140"/>
      <c r="KG140"/>
      <c r="KH140"/>
      <c r="KI140"/>
      <c r="KJ140"/>
      <c r="KK140"/>
      <c r="KL140"/>
      <c r="KM140"/>
      <c r="KN140"/>
      <c r="KO140"/>
      <c r="KP140"/>
      <c r="KQ140"/>
      <c r="KR140"/>
      <c r="KS140"/>
    </row>
    <row r="141" spans="2:305" hidden="1" x14ac:dyDescent="0.25">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c r="FX141"/>
      <c r="FY141"/>
      <c r="FZ141"/>
      <c r="GA141"/>
      <c r="GB141"/>
      <c r="GC141"/>
      <c r="GD141"/>
      <c r="GE141"/>
      <c r="GF141"/>
      <c r="GG141"/>
      <c r="GH141"/>
      <c r="GI141"/>
      <c r="GJ141"/>
      <c r="GK141"/>
      <c r="GL141"/>
      <c r="GM141"/>
      <c r="GN141"/>
      <c r="GO141"/>
      <c r="GP141"/>
      <c r="GQ141"/>
      <c r="GR141"/>
      <c r="GS141"/>
      <c r="GT141"/>
      <c r="GU141"/>
      <c r="GV141"/>
      <c r="GW141"/>
      <c r="GX141"/>
      <c r="GY141"/>
      <c r="GZ141"/>
      <c r="HA141"/>
      <c r="HB141"/>
      <c r="HC141"/>
      <c r="HD141"/>
      <c r="HE141"/>
      <c r="HF141"/>
      <c r="HG141"/>
      <c r="HH141"/>
      <c r="HI141"/>
      <c r="HJ141"/>
      <c r="HK141"/>
      <c r="HL141"/>
      <c r="HM141"/>
      <c r="HN141"/>
      <c r="HO141"/>
      <c r="HP141"/>
      <c r="HQ141"/>
      <c r="HR141"/>
      <c r="HS141"/>
      <c r="HT141"/>
      <c r="HU141"/>
      <c r="HV141"/>
      <c r="HW141"/>
      <c r="HX141"/>
      <c r="HY141"/>
      <c r="HZ141"/>
      <c r="IA141"/>
      <c r="IB141"/>
      <c r="IC141"/>
      <c r="ID141"/>
      <c r="IE141"/>
      <c r="IF141"/>
      <c r="IG141"/>
      <c r="IH141"/>
      <c r="II141"/>
      <c r="IJ141"/>
      <c r="IK141"/>
      <c r="IL141"/>
      <c r="IM141"/>
      <c r="IN141"/>
      <c r="IO141"/>
      <c r="IP141"/>
      <c r="IQ141"/>
      <c r="IR141"/>
      <c r="IS141"/>
      <c r="IT141"/>
      <c r="IU141"/>
      <c r="IV141"/>
      <c r="IW141"/>
      <c r="IX141"/>
      <c r="IY141"/>
      <c r="IZ141"/>
      <c r="JA141"/>
      <c r="JB141"/>
      <c r="JC141"/>
      <c r="JD141"/>
      <c r="JE141"/>
      <c r="JF141"/>
      <c r="JG141"/>
      <c r="JH141"/>
      <c r="JI141"/>
      <c r="JJ141"/>
      <c r="JK141"/>
      <c r="JL141"/>
      <c r="JM141"/>
      <c r="JN141"/>
      <c r="JO141"/>
      <c r="JP141"/>
      <c r="JQ141"/>
      <c r="JR141"/>
      <c r="JS141"/>
      <c r="JT141"/>
      <c r="JU141"/>
      <c r="JV141"/>
      <c r="JW141"/>
      <c r="JX141"/>
      <c r="JY141"/>
      <c r="JZ141"/>
      <c r="KA141"/>
      <c r="KB141"/>
      <c r="KC141"/>
      <c r="KD141"/>
      <c r="KE141"/>
      <c r="KF141"/>
      <c r="KG141"/>
      <c r="KH141"/>
      <c r="KI141"/>
      <c r="KJ141"/>
      <c r="KK141"/>
      <c r="KL141"/>
      <c r="KM141"/>
      <c r="KN141"/>
      <c r="KO141"/>
      <c r="KP141"/>
      <c r="KQ141"/>
      <c r="KR141"/>
      <c r="KS141"/>
    </row>
    <row r="142" spans="2:305" hidden="1" x14ac:dyDescent="0.25">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c r="FX142"/>
      <c r="FY142"/>
      <c r="FZ142"/>
      <c r="GA142"/>
      <c r="GB142"/>
      <c r="GC142"/>
      <c r="GD142"/>
      <c r="GE142"/>
      <c r="GF142"/>
      <c r="GG142"/>
      <c r="GH142"/>
      <c r="GI142"/>
      <c r="GJ142"/>
      <c r="GK142"/>
      <c r="GL142"/>
      <c r="GM142"/>
      <c r="GN142"/>
      <c r="GO142"/>
      <c r="GP142"/>
      <c r="GQ142"/>
      <c r="GR142"/>
      <c r="GS142"/>
      <c r="GT142"/>
      <c r="GU142"/>
      <c r="GV142"/>
      <c r="GW142"/>
      <c r="GX142"/>
      <c r="GY142"/>
      <c r="GZ142"/>
      <c r="HA142"/>
      <c r="HB142"/>
      <c r="HC142"/>
      <c r="HD142"/>
      <c r="HE142"/>
      <c r="HF142"/>
      <c r="HG142"/>
      <c r="HH142"/>
      <c r="HI142"/>
      <c r="HJ142"/>
      <c r="HK142"/>
      <c r="HL142"/>
      <c r="HM142"/>
      <c r="HN142"/>
      <c r="HO142"/>
      <c r="HP142"/>
      <c r="HQ142"/>
      <c r="HR142"/>
      <c r="HS142"/>
      <c r="HT142"/>
      <c r="HU142"/>
      <c r="HV142"/>
      <c r="HW142"/>
      <c r="HX142"/>
      <c r="HY142"/>
      <c r="HZ142"/>
      <c r="IA142"/>
      <c r="IB142"/>
      <c r="IC142"/>
      <c r="ID142"/>
      <c r="IE142"/>
      <c r="IF142"/>
      <c r="IG142"/>
      <c r="IH142"/>
      <c r="II142"/>
      <c r="IJ142"/>
      <c r="IK142"/>
      <c r="IL142"/>
      <c r="IM142"/>
      <c r="IN142"/>
      <c r="IO142"/>
      <c r="IP142"/>
      <c r="IQ142"/>
      <c r="IR142"/>
      <c r="IS142"/>
      <c r="IT142"/>
      <c r="IU142"/>
      <c r="IV142"/>
      <c r="IW142"/>
      <c r="IX142"/>
      <c r="IY142"/>
      <c r="IZ142"/>
      <c r="JA142"/>
      <c r="JB142"/>
      <c r="JC142"/>
      <c r="JD142"/>
      <c r="JE142"/>
      <c r="JF142"/>
      <c r="JG142"/>
      <c r="JH142"/>
      <c r="JI142"/>
      <c r="JJ142"/>
      <c r="JK142"/>
      <c r="JL142"/>
      <c r="JM142"/>
      <c r="JN142"/>
      <c r="JO142"/>
      <c r="JP142"/>
      <c r="JQ142"/>
      <c r="JR142"/>
      <c r="JS142"/>
      <c r="JT142"/>
      <c r="JU142"/>
      <c r="JV142"/>
      <c r="JW142"/>
      <c r="JX142"/>
      <c r="JY142"/>
      <c r="JZ142"/>
      <c r="KA142"/>
      <c r="KB142"/>
      <c r="KC142"/>
      <c r="KD142"/>
      <c r="KE142"/>
      <c r="KF142"/>
      <c r="KG142"/>
      <c r="KH142"/>
      <c r="KI142"/>
      <c r="KJ142"/>
      <c r="KK142"/>
      <c r="KL142"/>
      <c r="KM142"/>
      <c r="KN142"/>
      <c r="KO142"/>
      <c r="KP142"/>
      <c r="KQ142"/>
      <c r="KR142"/>
      <c r="KS142"/>
    </row>
    <row r="143" spans="2:305" hidden="1" x14ac:dyDescent="0.25">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c r="FX143"/>
      <c r="FY143"/>
      <c r="FZ143"/>
      <c r="GA143"/>
      <c r="GB143"/>
      <c r="GC143"/>
      <c r="GD143"/>
      <c r="GE143"/>
      <c r="GF143"/>
      <c r="GG143"/>
      <c r="GH143"/>
      <c r="GI143"/>
      <c r="GJ143"/>
      <c r="GK143"/>
      <c r="GL143"/>
      <c r="GM143"/>
      <c r="GN143"/>
      <c r="GO143"/>
      <c r="GP143"/>
      <c r="GQ143"/>
      <c r="GR143"/>
      <c r="GS143"/>
      <c r="GT143"/>
      <c r="GU143"/>
      <c r="GV143"/>
      <c r="GW143"/>
      <c r="GX143"/>
      <c r="GY143"/>
      <c r="GZ143"/>
      <c r="HA143"/>
      <c r="HB143"/>
      <c r="HC143"/>
      <c r="HD143"/>
      <c r="HE143"/>
      <c r="HF143"/>
      <c r="HG143"/>
      <c r="HH143"/>
      <c r="HI143"/>
      <c r="HJ143"/>
      <c r="HK143"/>
      <c r="HL143"/>
      <c r="HM143"/>
      <c r="HN143"/>
      <c r="HO143"/>
      <c r="HP143"/>
      <c r="HQ143"/>
      <c r="HR143"/>
      <c r="HS143"/>
      <c r="HT143"/>
      <c r="HU143"/>
      <c r="HV143"/>
      <c r="HW143"/>
      <c r="HX143"/>
      <c r="HY143"/>
      <c r="HZ143"/>
      <c r="IA143"/>
      <c r="IB143"/>
      <c r="IC143"/>
      <c r="ID143"/>
      <c r="IE143"/>
      <c r="IF143"/>
      <c r="IG143"/>
      <c r="IH143"/>
      <c r="II143"/>
      <c r="IJ143"/>
      <c r="IK143"/>
      <c r="IL143"/>
      <c r="IM143"/>
      <c r="IN143"/>
      <c r="IO143"/>
      <c r="IP143"/>
      <c r="IQ143"/>
      <c r="IR143"/>
      <c r="IS143"/>
      <c r="IT143"/>
      <c r="IU143"/>
      <c r="IV143"/>
      <c r="IW143"/>
      <c r="IX143"/>
      <c r="IY143"/>
      <c r="IZ143"/>
      <c r="JA143"/>
      <c r="JB143"/>
      <c r="JC143"/>
      <c r="JD143"/>
      <c r="JE143"/>
      <c r="JF143"/>
      <c r="JG143"/>
      <c r="JH143"/>
      <c r="JI143"/>
      <c r="JJ143"/>
      <c r="JK143"/>
      <c r="JL143"/>
      <c r="JM143"/>
      <c r="JN143"/>
      <c r="JO143"/>
      <c r="JP143"/>
      <c r="JQ143"/>
      <c r="JR143"/>
      <c r="JS143"/>
      <c r="JT143"/>
      <c r="JU143"/>
      <c r="JV143"/>
      <c r="JW143"/>
      <c r="JX143"/>
      <c r="JY143"/>
      <c r="JZ143"/>
      <c r="KA143"/>
      <c r="KB143"/>
      <c r="KC143"/>
      <c r="KD143"/>
      <c r="KE143"/>
      <c r="KF143"/>
      <c r="KG143"/>
      <c r="KH143"/>
      <c r="KI143"/>
      <c r="KJ143"/>
      <c r="KK143"/>
      <c r="KL143"/>
      <c r="KM143"/>
      <c r="KN143"/>
      <c r="KO143"/>
      <c r="KP143"/>
      <c r="KQ143"/>
      <c r="KR143"/>
      <c r="KS143"/>
    </row>
    <row r="144" spans="2:305" hidden="1" x14ac:dyDescent="0.25">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c r="FX144"/>
      <c r="FY144"/>
      <c r="FZ144"/>
      <c r="GA144"/>
      <c r="GB144"/>
      <c r="GC144"/>
      <c r="GD144"/>
      <c r="GE144"/>
      <c r="GF144"/>
      <c r="GG144"/>
      <c r="GH144"/>
      <c r="GI144"/>
      <c r="GJ144"/>
      <c r="GK144"/>
      <c r="GL144"/>
      <c r="GM144"/>
      <c r="GN144"/>
      <c r="GO144"/>
      <c r="GP144"/>
      <c r="GQ144"/>
      <c r="GR144"/>
      <c r="GS144"/>
      <c r="GT144"/>
      <c r="GU144"/>
      <c r="GV144"/>
      <c r="GW144"/>
      <c r="GX144"/>
      <c r="GY144"/>
      <c r="GZ144"/>
      <c r="HA144"/>
      <c r="HB144"/>
      <c r="HC144"/>
      <c r="HD144"/>
      <c r="HE144"/>
      <c r="HF144"/>
      <c r="HG144"/>
      <c r="HH144"/>
      <c r="HI144"/>
      <c r="HJ144"/>
      <c r="HK144"/>
      <c r="HL144"/>
      <c r="HM144"/>
      <c r="HN144"/>
      <c r="HO144"/>
      <c r="HP144"/>
      <c r="HQ144"/>
      <c r="HR144"/>
      <c r="HS144"/>
      <c r="HT144"/>
      <c r="HU144"/>
      <c r="HV144"/>
      <c r="HW144"/>
      <c r="HX144"/>
      <c r="HY144"/>
      <c r="HZ144"/>
      <c r="IA144"/>
      <c r="IB144"/>
      <c r="IC144"/>
      <c r="ID144"/>
      <c r="IE144"/>
      <c r="IF144"/>
      <c r="IG144"/>
      <c r="IH144"/>
      <c r="II144"/>
      <c r="IJ144"/>
      <c r="IK144"/>
      <c r="IL144"/>
      <c r="IM144"/>
      <c r="IN144"/>
      <c r="IO144"/>
      <c r="IP144"/>
      <c r="IQ144"/>
      <c r="IR144"/>
      <c r="IS144"/>
      <c r="IT144"/>
      <c r="IU144"/>
      <c r="IV144"/>
      <c r="IW144"/>
      <c r="IX144"/>
      <c r="IY144"/>
      <c r="IZ144"/>
      <c r="JA144"/>
      <c r="JB144"/>
      <c r="JC144"/>
      <c r="JD144"/>
      <c r="JE144"/>
      <c r="JF144"/>
      <c r="JG144"/>
      <c r="JH144"/>
      <c r="JI144"/>
      <c r="JJ144"/>
      <c r="JK144"/>
      <c r="JL144"/>
      <c r="JM144"/>
      <c r="JN144"/>
      <c r="JO144"/>
      <c r="JP144"/>
      <c r="JQ144"/>
      <c r="JR144"/>
      <c r="JS144"/>
      <c r="JT144"/>
      <c r="JU144"/>
      <c r="JV144"/>
      <c r="JW144"/>
      <c r="JX144"/>
      <c r="JY144"/>
      <c r="JZ144"/>
      <c r="KA144"/>
      <c r="KB144"/>
      <c r="KC144"/>
      <c r="KD144"/>
      <c r="KE144"/>
      <c r="KF144"/>
      <c r="KG144"/>
      <c r="KH144"/>
      <c r="KI144"/>
      <c r="KJ144"/>
      <c r="KK144"/>
      <c r="KL144"/>
      <c r="KM144"/>
      <c r="KN144"/>
      <c r="KO144"/>
      <c r="KP144"/>
      <c r="KQ144"/>
      <c r="KR144"/>
      <c r="KS144"/>
    </row>
    <row r="145" spans="2:305" hidden="1" x14ac:dyDescent="0.2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c r="FX145"/>
      <c r="FY145"/>
      <c r="FZ145"/>
      <c r="GA145"/>
      <c r="GB145"/>
      <c r="GC145"/>
      <c r="GD145"/>
      <c r="GE145"/>
      <c r="GF145"/>
      <c r="GG145"/>
      <c r="GH145"/>
      <c r="GI145"/>
      <c r="GJ145"/>
      <c r="GK145"/>
      <c r="GL145"/>
      <c r="GM145"/>
      <c r="GN145"/>
      <c r="GO145"/>
      <c r="GP145"/>
      <c r="GQ145"/>
      <c r="GR145"/>
      <c r="GS145"/>
      <c r="GT145"/>
      <c r="GU145"/>
      <c r="GV145"/>
      <c r="GW145"/>
      <c r="GX145"/>
      <c r="GY145"/>
      <c r="GZ145"/>
      <c r="HA145"/>
      <c r="HB145"/>
      <c r="HC145"/>
      <c r="HD145"/>
      <c r="HE145"/>
      <c r="HF145"/>
      <c r="HG145"/>
      <c r="HH145"/>
      <c r="HI145"/>
      <c r="HJ145"/>
      <c r="HK145"/>
      <c r="HL145"/>
      <c r="HM145"/>
      <c r="HN145"/>
      <c r="HO145"/>
      <c r="HP145"/>
      <c r="HQ145"/>
      <c r="HR145"/>
      <c r="HS145"/>
      <c r="HT145"/>
      <c r="HU145"/>
      <c r="HV145"/>
      <c r="HW145"/>
      <c r="HX145"/>
      <c r="HY145"/>
      <c r="HZ145"/>
      <c r="IA145"/>
      <c r="IB145"/>
      <c r="IC145"/>
      <c r="ID145"/>
      <c r="IE145"/>
      <c r="IF145"/>
      <c r="IG145"/>
      <c r="IH145"/>
      <c r="II145"/>
      <c r="IJ145"/>
      <c r="IK145"/>
      <c r="IL145"/>
      <c r="IM145"/>
      <c r="IN145"/>
      <c r="IO145"/>
      <c r="IP145"/>
      <c r="IQ145"/>
      <c r="IR145"/>
      <c r="IS145"/>
      <c r="IT145"/>
      <c r="IU145"/>
      <c r="IV145"/>
      <c r="IW145"/>
      <c r="IX145"/>
      <c r="IY145"/>
      <c r="IZ145"/>
      <c r="JA145"/>
      <c r="JB145"/>
      <c r="JC145"/>
      <c r="JD145"/>
      <c r="JE145"/>
      <c r="JF145"/>
      <c r="JG145"/>
      <c r="JH145"/>
      <c r="JI145"/>
      <c r="JJ145"/>
      <c r="JK145"/>
      <c r="JL145"/>
      <c r="JM145"/>
      <c r="JN145"/>
      <c r="JO145"/>
      <c r="JP145"/>
      <c r="JQ145"/>
      <c r="JR145"/>
      <c r="JS145"/>
      <c r="JT145"/>
      <c r="JU145"/>
      <c r="JV145"/>
      <c r="JW145"/>
      <c r="JX145"/>
      <c r="JY145"/>
      <c r="JZ145"/>
      <c r="KA145"/>
      <c r="KB145"/>
      <c r="KC145"/>
      <c r="KD145"/>
      <c r="KE145"/>
      <c r="KF145"/>
      <c r="KG145"/>
      <c r="KH145"/>
      <c r="KI145"/>
      <c r="KJ145"/>
      <c r="KK145"/>
      <c r="KL145"/>
      <c r="KM145"/>
      <c r="KN145"/>
      <c r="KO145"/>
      <c r="KP145"/>
      <c r="KQ145"/>
      <c r="KR145"/>
      <c r="KS145"/>
    </row>
    <row r="146" spans="2:305" hidden="1" x14ac:dyDescent="0.25">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c r="FX146"/>
      <c r="FY146"/>
      <c r="FZ146"/>
      <c r="GA146"/>
      <c r="GB146"/>
      <c r="GC146"/>
      <c r="GD146"/>
      <c r="GE146"/>
      <c r="GF146"/>
      <c r="GG146"/>
      <c r="GH146"/>
      <c r="GI146"/>
      <c r="GJ146"/>
      <c r="GK146"/>
      <c r="GL146"/>
      <c r="GM146"/>
      <c r="GN146"/>
      <c r="GO146"/>
      <c r="GP146"/>
      <c r="GQ146"/>
      <c r="GR146"/>
      <c r="GS146"/>
      <c r="GT146"/>
      <c r="GU146"/>
      <c r="GV146"/>
      <c r="GW146"/>
      <c r="GX146"/>
      <c r="GY146"/>
      <c r="GZ146"/>
      <c r="HA146"/>
      <c r="HB146"/>
      <c r="HC146"/>
      <c r="HD146"/>
      <c r="HE146"/>
      <c r="HF146"/>
      <c r="HG146"/>
      <c r="HH146"/>
      <c r="HI146"/>
      <c r="HJ146"/>
      <c r="HK146"/>
      <c r="HL146"/>
      <c r="HM146"/>
      <c r="HN146"/>
      <c r="HO146"/>
      <c r="HP146"/>
      <c r="HQ146"/>
      <c r="HR146"/>
      <c r="HS146"/>
      <c r="HT146"/>
      <c r="HU146"/>
      <c r="HV146"/>
      <c r="HW146"/>
      <c r="HX146"/>
      <c r="HY146"/>
      <c r="HZ146"/>
      <c r="IA146"/>
      <c r="IB146"/>
      <c r="IC146"/>
      <c r="ID146"/>
      <c r="IE146"/>
      <c r="IF146"/>
      <c r="IG146"/>
      <c r="IH146"/>
      <c r="II146"/>
      <c r="IJ146"/>
      <c r="IK146"/>
      <c r="IL146"/>
      <c r="IM146"/>
      <c r="IN146"/>
      <c r="IO146"/>
      <c r="IP146"/>
      <c r="IQ146"/>
      <c r="IR146"/>
      <c r="IS146"/>
      <c r="IT146"/>
      <c r="IU146"/>
      <c r="IV146"/>
      <c r="IW146"/>
      <c r="IX146"/>
      <c r="IY146"/>
      <c r="IZ146"/>
      <c r="JA146"/>
      <c r="JB146"/>
      <c r="JC146"/>
      <c r="JD146"/>
      <c r="JE146"/>
      <c r="JF146"/>
      <c r="JG146"/>
      <c r="JH146"/>
      <c r="JI146"/>
      <c r="JJ146"/>
      <c r="JK146"/>
      <c r="JL146"/>
      <c r="JM146"/>
      <c r="JN146"/>
      <c r="JO146"/>
      <c r="JP146"/>
      <c r="JQ146"/>
      <c r="JR146"/>
      <c r="JS146"/>
      <c r="JT146"/>
      <c r="JU146"/>
      <c r="JV146"/>
      <c r="JW146"/>
      <c r="JX146"/>
      <c r="JY146"/>
      <c r="JZ146"/>
      <c r="KA146"/>
      <c r="KB146"/>
      <c r="KC146"/>
      <c r="KD146"/>
      <c r="KE146"/>
      <c r="KF146"/>
      <c r="KG146"/>
      <c r="KH146"/>
      <c r="KI146"/>
      <c r="KJ146"/>
      <c r="KK146"/>
      <c r="KL146"/>
      <c r="KM146"/>
      <c r="KN146"/>
      <c r="KO146"/>
      <c r="KP146"/>
      <c r="KQ146"/>
      <c r="KR146"/>
      <c r="KS146"/>
    </row>
    <row r="147" spans="2:305" hidden="1" x14ac:dyDescent="0.25">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c r="FQ147"/>
      <c r="FR147"/>
      <c r="FS147"/>
      <c r="FT147"/>
      <c r="FU147"/>
      <c r="FV147"/>
      <c r="FW147"/>
      <c r="FX147"/>
      <c r="FY147"/>
      <c r="FZ147"/>
      <c r="GA147"/>
      <c r="GB147"/>
      <c r="GC147"/>
      <c r="GD147"/>
      <c r="GE147"/>
      <c r="GF147"/>
      <c r="GG147"/>
      <c r="GH147"/>
      <c r="GI147"/>
      <c r="GJ147"/>
      <c r="GK147"/>
      <c r="GL147"/>
      <c r="GM147"/>
      <c r="GN147"/>
      <c r="GO147"/>
      <c r="GP147"/>
      <c r="GQ147"/>
      <c r="GR147"/>
      <c r="GS147"/>
      <c r="GT147"/>
      <c r="GU147"/>
      <c r="GV147"/>
      <c r="GW147"/>
      <c r="GX147"/>
      <c r="GY147"/>
      <c r="GZ147"/>
      <c r="HA147"/>
      <c r="HB147"/>
      <c r="HC147"/>
      <c r="HD147"/>
      <c r="HE147"/>
      <c r="HF147"/>
      <c r="HG147"/>
      <c r="HH147"/>
      <c r="HI147"/>
      <c r="HJ147"/>
      <c r="HK147"/>
      <c r="HL147"/>
      <c r="HM147"/>
      <c r="HN147"/>
      <c r="HO147"/>
      <c r="HP147"/>
      <c r="HQ147"/>
      <c r="HR147"/>
      <c r="HS147"/>
      <c r="HT147"/>
      <c r="HU147"/>
      <c r="HV147"/>
      <c r="HW147"/>
      <c r="HX147"/>
      <c r="HY147"/>
      <c r="HZ147"/>
      <c r="IA147"/>
      <c r="IB147"/>
      <c r="IC147"/>
      <c r="ID147"/>
      <c r="IE147"/>
      <c r="IF147"/>
      <c r="IG147"/>
      <c r="IH147"/>
      <c r="II147"/>
      <c r="IJ147"/>
      <c r="IK147"/>
      <c r="IL147"/>
      <c r="IM147"/>
      <c r="IN147"/>
      <c r="IO147"/>
      <c r="IP147"/>
      <c r="IQ147"/>
      <c r="IR147"/>
      <c r="IS147"/>
      <c r="IT147"/>
      <c r="IU147"/>
      <c r="IV147"/>
      <c r="IW147"/>
      <c r="IX147"/>
      <c r="IY147"/>
      <c r="IZ147"/>
      <c r="JA147"/>
      <c r="JB147"/>
      <c r="JC147"/>
      <c r="JD147"/>
      <c r="JE147"/>
      <c r="JF147"/>
      <c r="JG147"/>
      <c r="JH147"/>
      <c r="JI147"/>
      <c r="JJ147"/>
      <c r="JK147"/>
      <c r="JL147"/>
      <c r="JM147"/>
      <c r="JN147"/>
      <c r="JO147"/>
      <c r="JP147"/>
      <c r="JQ147"/>
      <c r="JR147"/>
      <c r="JS147"/>
      <c r="JT147"/>
      <c r="JU147"/>
      <c r="JV147"/>
      <c r="JW147"/>
      <c r="JX147"/>
      <c r="JY147"/>
      <c r="JZ147"/>
      <c r="KA147"/>
      <c r="KB147"/>
      <c r="KC147"/>
      <c r="KD147"/>
      <c r="KE147"/>
      <c r="KF147"/>
      <c r="KG147"/>
      <c r="KH147"/>
      <c r="KI147"/>
      <c r="KJ147"/>
      <c r="KK147"/>
      <c r="KL147"/>
      <c r="KM147"/>
      <c r="KN147"/>
      <c r="KO147"/>
      <c r="KP147"/>
      <c r="KQ147"/>
      <c r="KR147"/>
      <c r="KS147"/>
    </row>
    <row r="148" spans="2:305" hidden="1" x14ac:dyDescent="0.25">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c r="FX148"/>
      <c r="FY148"/>
      <c r="FZ148"/>
      <c r="GA148"/>
      <c r="GB148"/>
      <c r="GC148"/>
      <c r="GD148"/>
      <c r="GE148"/>
      <c r="GF148"/>
      <c r="GG148"/>
      <c r="GH148"/>
      <c r="GI148"/>
      <c r="GJ148"/>
      <c r="GK148"/>
      <c r="GL148"/>
      <c r="GM148"/>
      <c r="GN148"/>
      <c r="GO148"/>
      <c r="GP148"/>
      <c r="GQ148"/>
      <c r="GR148"/>
      <c r="GS148"/>
      <c r="GT148"/>
      <c r="GU148"/>
      <c r="GV148"/>
      <c r="GW148"/>
      <c r="GX148"/>
      <c r="GY148"/>
      <c r="GZ148"/>
      <c r="HA148"/>
      <c r="HB148"/>
      <c r="HC148"/>
      <c r="HD148"/>
      <c r="HE148"/>
      <c r="HF148"/>
      <c r="HG148"/>
      <c r="HH148"/>
      <c r="HI148"/>
      <c r="HJ148"/>
      <c r="HK148"/>
      <c r="HL148"/>
      <c r="HM148"/>
      <c r="HN148"/>
      <c r="HO148"/>
      <c r="HP148"/>
      <c r="HQ148"/>
      <c r="HR148"/>
      <c r="HS148"/>
      <c r="HT148"/>
      <c r="HU148"/>
      <c r="HV148"/>
      <c r="HW148"/>
      <c r="HX148"/>
      <c r="HY148"/>
      <c r="HZ148"/>
      <c r="IA148"/>
      <c r="IB148"/>
      <c r="IC148"/>
      <c r="ID148"/>
      <c r="IE148"/>
      <c r="IF148"/>
      <c r="IG148"/>
      <c r="IH148"/>
      <c r="II148"/>
      <c r="IJ148"/>
      <c r="IK148"/>
      <c r="IL148"/>
      <c r="IM148"/>
      <c r="IN148"/>
      <c r="IO148"/>
      <c r="IP148"/>
      <c r="IQ148"/>
      <c r="IR148"/>
      <c r="IS148"/>
      <c r="IT148"/>
      <c r="IU148"/>
      <c r="IV148"/>
      <c r="IW148"/>
      <c r="IX148"/>
      <c r="IY148"/>
      <c r="IZ148"/>
      <c r="JA148"/>
      <c r="JB148"/>
      <c r="JC148"/>
      <c r="JD148"/>
      <c r="JE148"/>
      <c r="JF148"/>
      <c r="JG148"/>
      <c r="JH148"/>
      <c r="JI148"/>
      <c r="JJ148"/>
      <c r="JK148"/>
      <c r="JL148"/>
      <c r="JM148"/>
      <c r="JN148"/>
      <c r="JO148"/>
      <c r="JP148"/>
      <c r="JQ148"/>
      <c r="JR148"/>
      <c r="JS148"/>
      <c r="JT148"/>
      <c r="JU148"/>
      <c r="JV148"/>
      <c r="JW148"/>
      <c r="JX148"/>
      <c r="JY148"/>
      <c r="JZ148"/>
      <c r="KA148"/>
      <c r="KB148"/>
      <c r="KC148"/>
      <c r="KD148"/>
      <c r="KE148"/>
      <c r="KF148"/>
      <c r="KG148"/>
      <c r="KH148"/>
      <c r="KI148"/>
      <c r="KJ148"/>
      <c r="KK148"/>
      <c r="KL148"/>
      <c r="KM148"/>
      <c r="KN148"/>
      <c r="KO148"/>
      <c r="KP148"/>
      <c r="KQ148"/>
      <c r="KR148"/>
      <c r="KS148"/>
    </row>
    <row r="149" spans="2:305" hidden="1" x14ac:dyDescent="0.25">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c r="FX149"/>
      <c r="FY149"/>
      <c r="FZ149"/>
      <c r="GA149"/>
      <c r="GB149"/>
      <c r="GC149"/>
      <c r="GD149"/>
      <c r="GE149"/>
      <c r="GF149"/>
      <c r="GG149"/>
      <c r="GH149"/>
      <c r="GI149"/>
      <c r="GJ149"/>
      <c r="GK149"/>
      <c r="GL149"/>
      <c r="GM149"/>
      <c r="GN149"/>
      <c r="GO149"/>
      <c r="GP149"/>
      <c r="GQ149"/>
      <c r="GR149"/>
      <c r="GS149"/>
      <c r="GT149"/>
      <c r="GU149"/>
      <c r="GV149"/>
      <c r="GW149"/>
      <c r="GX149"/>
      <c r="GY149"/>
      <c r="GZ149"/>
      <c r="HA149"/>
      <c r="HB149"/>
      <c r="HC149"/>
      <c r="HD149"/>
      <c r="HE149"/>
      <c r="HF149"/>
      <c r="HG149"/>
      <c r="HH149"/>
      <c r="HI149"/>
      <c r="HJ149"/>
      <c r="HK149"/>
      <c r="HL149"/>
      <c r="HM149"/>
      <c r="HN149"/>
      <c r="HO149"/>
      <c r="HP149"/>
      <c r="HQ149"/>
      <c r="HR149"/>
      <c r="HS149"/>
      <c r="HT149"/>
      <c r="HU149"/>
      <c r="HV149"/>
      <c r="HW149"/>
      <c r="HX149"/>
      <c r="HY149"/>
      <c r="HZ149"/>
      <c r="IA149"/>
      <c r="IB149"/>
      <c r="IC149"/>
      <c r="ID149"/>
      <c r="IE149"/>
      <c r="IF149"/>
      <c r="IG149"/>
      <c r="IH149"/>
      <c r="II149"/>
      <c r="IJ149"/>
      <c r="IK149"/>
      <c r="IL149"/>
      <c r="IM149"/>
      <c r="IN149"/>
      <c r="IO149"/>
      <c r="IP149"/>
      <c r="IQ149"/>
      <c r="IR149"/>
      <c r="IS149"/>
      <c r="IT149"/>
      <c r="IU149"/>
      <c r="IV149"/>
      <c r="IW149"/>
      <c r="IX149"/>
      <c r="IY149"/>
      <c r="IZ149"/>
      <c r="JA149"/>
      <c r="JB149"/>
      <c r="JC149"/>
      <c r="JD149"/>
      <c r="JE149"/>
      <c r="JF149"/>
      <c r="JG149"/>
      <c r="JH149"/>
      <c r="JI149"/>
      <c r="JJ149"/>
      <c r="JK149"/>
      <c r="JL149"/>
      <c r="JM149"/>
      <c r="JN149"/>
      <c r="JO149"/>
      <c r="JP149"/>
      <c r="JQ149"/>
      <c r="JR149"/>
      <c r="JS149"/>
      <c r="JT149"/>
      <c r="JU149"/>
      <c r="JV149"/>
      <c r="JW149"/>
      <c r="JX149"/>
      <c r="JY149"/>
      <c r="JZ149"/>
      <c r="KA149"/>
      <c r="KB149"/>
      <c r="KC149"/>
      <c r="KD149"/>
      <c r="KE149"/>
      <c r="KF149"/>
      <c r="KG149"/>
      <c r="KH149"/>
      <c r="KI149"/>
      <c r="KJ149"/>
      <c r="KK149"/>
      <c r="KL149"/>
      <c r="KM149"/>
      <c r="KN149"/>
      <c r="KO149"/>
      <c r="KP149"/>
      <c r="KQ149"/>
      <c r="KR149"/>
      <c r="KS149"/>
    </row>
    <row r="150" spans="2:305" hidden="1" x14ac:dyDescent="0.25">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c r="FX150"/>
      <c r="FY150"/>
      <c r="FZ150"/>
      <c r="GA150"/>
      <c r="GB150"/>
      <c r="GC150"/>
      <c r="GD150"/>
      <c r="GE150"/>
      <c r="GF150"/>
      <c r="GG150"/>
      <c r="GH150"/>
      <c r="GI150"/>
      <c r="GJ150"/>
      <c r="GK150"/>
      <c r="GL150"/>
      <c r="GM150"/>
      <c r="GN150"/>
      <c r="GO150"/>
      <c r="GP150"/>
      <c r="GQ150"/>
      <c r="GR150"/>
      <c r="GS150"/>
      <c r="GT150"/>
      <c r="GU150"/>
      <c r="GV150"/>
      <c r="GW150"/>
      <c r="GX150"/>
      <c r="GY150"/>
      <c r="GZ150"/>
      <c r="HA150"/>
      <c r="HB150"/>
      <c r="HC150"/>
      <c r="HD150"/>
      <c r="HE150"/>
      <c r="HF150"/>
      <c r="HG150"/>
      <c r="HH150"/>
      <c r="HI150"/>
      <c r="HJ150"/>
      <c r="HK150"/>
      <c r="HL150"/>
      <c r="HM150"/>
      <c r="HN150"/>
      <c r="HO150"/>
      <c r="HP150"/>
      <c r="HQ150"/>
      <c r="HR150"/>
      <c r="HS150"/>
      <c r="HT150"/>
      <c r="HU150"/>
      <c r="HV150"/>
      <c r="HW150"/>
      <c r="HX150"/>
      <c r="HY150"/>
      <c r="HZ150"/>
      <c r="IA150"/>
      <c r="IB150"/>
      <c r="IC150"/>
      <c r="ID150"/>
      <c r="IE150"/>
      <c r="IF150"/>
      <c r="IG150"/>
      <c r="IH150"/>
      <c r="II150"/>
      <c r="IJ150"/>
      <c r="IK150"/>
      <c r="IL150"/>
      <c r="IM150"/>
      <c r="IN150"/>
      <c r="IO150"/>
      <c r="IP150"/>
      <c r="IQ150"/>
      <c r="IR150"/>
      <c r="IS150"/>
      <c r="IT150"/>
      <c r="IU150"/>
      <c r="IV150"/>
      <c r="IW150"/>
      <c r="IX150"/>
      <c r="IY150"/>
      <c r="IZ150"/>
      <c r="JA150"/>
      <c r="JB150"/>
      <c r="JC150"/>
      <c r="JD150"/>
      <c r="JE150"/>
      <c r="JF150"/>
      <c r="JG150"/>
      <c r="JH150"/>
      <c r="JI150"/>
      <c r="JJ150"/>
      <c r="JK150"/>
      <c r="JL150"/>
      <c r="JM150"/>
      <c r="JN150"/>
      <c r="JO150"/>
      <c r="JP150"/>
      <c r="JQ150"/>
      <c r="JR150"/>
      <c r="JS150"/>
      <c r="JT150"/>
      <c r="JU150"/>
      <c r="JV150"/>
      <c r="JW150"/>
      <c r="JX150"/>
      <c r="JY150"/>
      <c r="JZ150"/>
      <c r="KA150"/>
      <c r="KB150"/>
      <c r="KC150"/>
      <c r="KD150"/>
      <c r="KE150"/>
      <c r="KF150"/>
      <c r="KG150"/>
      <c r="KH150"/>
      <c r="KI150"/>
      <c r="KJ150"/>
      <c r="KK150"/>
      <c r="KL150"/>
      <c r="KM150"/>
      <c r="KN150"/>
      <c r="KO150"/>
      <c r="KP150"/>
      <c r="KQ150"/>
      <c r="KR150"/>
      <c r="KS150"/>
    </row>
    <row r="151" spans="2:305" hidden="1" x14ac:dyDescent="0.25">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c r="FX151"/>
      <c r="FY151"/>
      <c r="FZ151"/>
      <c r="GA151"/>
      <c r="GB151"/>
      <c r="GC151"/>
      <c r="GD151"/>
      <c r="GE151"/>
      <c r="GF151"/>
      <c r="GG151"/>
      <c r="GH151"/>
      <c r="GI151"/>
      <c r="GJ151"/>
      <c r="GK151"/>
      <c r="GL151"/>
      <c r="GM151"/>
      <c r="GN151"/>
      <c r="GO151"/>
      <c r="GP151"/>
      <c r="GQ151"/>
      <c r="GR151"/>
      <c r="GS151"/>
      <c r="GT151"/>
      <c r="GU151"/>
      <c r="GV151"/>
      <c r="GW151"/>
      <c r="GX151"/>
      <c r="GY151"/>
      <c r="GZ151"/>
      <c r="HA151"/>
      <c r="HB151"/>
      <c r="HC151"/>
      <c r="HD151"/>
      <c r="HE151"/>
      <c r="HF151"/>
      <c r="HG151"/>
      <c r="HH151"/>
      <c r="HI151"/>
      <c r="HJ151"/>
      <c r="HK151"/>
      <c r="HL151"/>
      <c r="HM151"/>
      <c r="HN151"/>
      <c r="HO151"/>
      <c r="HP151"/>
      <c r="HQ151"/>
      <c r="HR151"/>
      <c r="HS151"/>
      <c r="HT151"/>
      <c r="HU151"/>
      <c r="HV151"/>
      <c r="HW151"/>
      <c r="HX151"/>
      <c r="HY151"/>
      <c r="HZ151"/>
      <c r="IA151"/>
      <c r="IB151"/>
      <c r="IC151"/>
      <c r="ID151"/>
      <c r="IE151"/>
      <c r="IF151"/>
      <c r="IG151"/>
      <c r="IH151"/>
      <c r="II151"/>
      <c r="IJ151"/>
      <c r="IK151"/>
      <c r="IL151"/>
      <c r="IM151"/>
      <c r="IN151"/>
      <c r="IO151"/>
      <c r="IP151"/>
      <c r="IQ151"/>
      <c r="IR151"/>
      <c r="IS151"/>
      <c r="IT151"/>
      <c r="IU151"/>
      <c r="IV151"/>
      <c r="IW151"/>
      <c r="IX151"/>
      <c r="IY151"/>
      <c r="IZ151"/>
      <c r="JA151"/>
      <c r="JB151"/>
      <c r="JC151"/>
      <c r="JD151"/>
      <c r="JE151"/>
      <c r="JF151"/>
      <c r="JG151"/>
      <c r="JH151"/>
      <c r="JI151"/>
      <c r="JJ151"/>
      <c r="JK151"/>
      <c r="JL151"/>
      <c r="JM151"/>
      <c r="JN151"/>
      <c r="JO151"/>
      <c r="JP151"/>
      <c r="JQ151"/>
      <c r="JR151"/>
      <c r="JS151"/>
      <c r="JT151"/>
      <c r="JU151"/>
      <c r="JV151"/>
      <c r="JW151"/>
      <c r="JX151"/>
      <c r="JY151"/>
      <c r="JZ151"/>
      <c r="KA151"/>
      <c r="KB151"/>
      <c r="KC151"/>
      <c r="KD151"/>
      <c r="KE151"/>
      <c r="KF151"/>
      <c r="KG151"/>
      <c r="KH151"/>
      <c r="KI151"/>
      <c r="KJ151"/>
      <c r="KK151"/>
      <c r="KL151"/>
      <c r="KM151"/>
      <c r="KN151"/>
      <c r="KO151"/>
      <c r="KP151"/>
      <c r="KQ151"/>
      <c r="KR151"/>
      <c r="KS151"/>
    </row>
    <row r="152" spans="2:305" hidden="1" x14ac:dyDescent="0.25">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c r="GQ152"/>
      <c r="GR152"/>
      <c r="GS152"/>
      <c r="GT152"/>
      <c r="GU152"/>
      <c r="GV152"/>
      <c r="GW152"/>
      <c r="GX152"/>
      <c r="GY152"/>
      <c r="GZ152"/>
      <c r="HA152"/>
      <c r="HB152"/>
      <c r="HC152"/>
      <c r="HD152"/>
      <c r="HE152"/>
      <c r="HF152"/>
      <c r="HG152"/>
      <c r="HH152"/>
      <c r="HI152"/>
      <c r="HJ152"/>
      <c r="HK152"/>
      <c r="HL152"/>
      <c r="HM152"/>
      <c r="HN152"/>
      <c r="HO152"/>
      <c r="HP152"/>
      <c r="HQ152"/>
      <c r="HR152"/>
      <c r="HS152"/>
      <c r="HT152"/>
      <c r="HU152"/>
      <c r="HV152"/>
      <c r="HW152"/>
      <c r="HX152"/>
      <c r="HY152"/>
      <c r="HZ152"/>
      <c r="IA152"/>
      <c r="IB152"/>
      <c r="IC152"/>
      <c r="ID152"/>
      <c r="IE152"/>
      <c r="IF152"/>
      <c r="IG152"/>
      <c r="IH152"/>
      <c r="II152"/>
      <c r="IJ152"/>
      <c r="IK152"/>
      <c r="IL152"/>
      <c r="IM152"/>
      <c r="IN152"/>
      <c r="IO152"/>
      <c r="IP152"/>
      <c r="IQ152"/>
      <c r="IR152"/>
      <c r="IS152"/>
      <c r="IT152"/>
      <c r="IU152"/>
      <c r="IV152"/>
      <c r="IW152"/>
      <c r="IX152"/>
      <c r="IY152"/>
      <c r="IZ152"/>
      <c r="JA152"/>
      <c r="JB152"/>
      <c r="JC152"/>
      <c r="JD152"/>
      <c r="JE152"/>
      <c r="JF152"/>
      <c r="JG152"/>
      <c r="JH152"/>
      <c r="JI152"/>
      <c r="JJ152"/>
      <c r="JK152"/>
      <c r="JL152"/>
      <c r="JM152"/>
      <c r="JN152"/>
      <c r="JO152"/>
      <c r="JP152"/>
      <c r="JQ152"/>
      <c r="JR152"/>
      <c r="JS152"/>
      <c r="JT152"/>
      <c r="JU152"/>
      <c r="JV152"/>
      <c r="JW152"/>
      <c r="JX152"/>
      <c r="JY152"/>
      <c r="JZ152"/>
      <c r="KA152"/>
      <c r="KB152"/>
      <c r="KC152"/>
      <c r="KD152"/>
      <c r="KE152"/>
      <c r="KF152"/>
      <c r="KG152"/>
      <c r="KH152"/>
      <c r="KI152"/>
      <c r="KJ152"/>
      <c r="KK152"/>
      <c r="KL152"/>
      <c r="KM152"/>
      <c r="KN152"/>
      <c r="KO152"/>
      <c r="KP152"/>
      <c r="KQ152"/>
      <c r="KR152"/>
      <c r="KS152"/>
    </row>
    <row r="153" spans="2:305" hidden="1" x14ac:dyDescent="0.25">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c r="FX153"/>
      <c r="FY153"/>
      <c r="FZ153"/>
      <c r="GA153"/>
      <c r="GB153"/>
      <c r="GC153"/>
      <c r="GD153"/>
      <c r="GE153"/>
      <c r="GF153"/>
      <c r="GG153"/>
      <c r="GH153"/>
      <c r="GI153"/>
      <c r="GJ153"/>
      <c r="GK153"/>
      <c r="GL153"/>
      <c r="GM153"/>
      <c r="GN153"/>
      <c r="GO153"/>
      <c r="GP153"/>
      <c r="GQ153"/>
      <c r="GR153"/>
      <c r="GS153"/>
      <c r="GT153"/>
      <c r="GU153"/>
      <c r="GV153"/>
      <c r="GW153"/>
      <c r="GX153"/>
      <c r="GY153"/>
      <c r="GZ153"/>
      <c r="HA153"/>
      <c r="HB153"/>
      <c r="HC153"/>
      <c r="HD153"/>
      <c r="HE153"/>
      <c r="HF153"/>
      <c r="HG153"/>
      <c r="HH153"/>
      <c r="HI153"/>
      <c r="HJ153"/>
      <c r="HK153"/>
      <c r="HL153"/>
      <c r="HM153"/>
      <c r="HN153"/>
      <c r="HO153"/>
      <c r="HP153"/>
      <c r="HQ153"/>
      <c r="HR153"/>
      <c r="HS153"/>
      <c r="HT153"/>
      <c r="HU153"/>
      <c r="HV153"/>
      <c r="HW153"/>
      <c r="HX153"/>
      <c r="HY153"/>
      <c r="HZ153"/>
      <c r="IA153"/>
      <c r="IB153"/>
      <c r="IC153"/>
      <c r="ID153"/>
      <c r="IE153"/>
      <c r="IF153"/>
      <c r="IG153"/>
      <c r="IH153"/>
      <c r="II153"/>
      <c r="IJ153"/>
      <c r="IK153"/>
      <c r="IL153"/>
      <c r="IM153"/>
      <c r="IN153"/>
      <c r="IO153"/>
      <c r="IP153"/>
      <c r="IQ153"/>
      <c r="IR153"/>
      <c r="IS153"/>
      <c r="IT153"/>
      <c r="IU153"/>
      <c r="IV153"/>
      <c r="IW153"/>
      <c r="IX153"/>
      <c r="IY153"/>
      <c r="IZ153"/>
      <c r="JA153"/>
      <c r="JB153"/>
      <c r="JC153"/>
      <c r="JD153"/>
      <c r="JE153"/>
      <c r="JF153"/>
      <c r="JG153"/>
      <c r="JH153"/>
      <c r="JI153"/>
      <c r="JJ153"/>
      <c r="JK153"/>
      <c r="JL153"/>
      <c r="JM153"/>
      <c r="JN153"/>
      <c r="JO153"/>
      <c r="JP153"/>
      <c r="JQ153"/>
      <c r="JR153"/>
      <c r="JS153"/>
      <c r="JT153"/>
      <c r="JU153"/>
      <c r="JV153"/>
      <c r="JW153"/>
      <c r="JX153"/>
      <c r="JY153"/>
      <c r="JZ153"/>
      <c r="KA153"/>
      <c r="KB153"/>
      <c r="KC153"/>
      <c r="KD153"/>
      <c r="KE153"/>
      <c r="KF153"/>
      <c r="KG153"/>
      <c r="KH153"/>
      <c r="KI153"/>
      <c r="KJ153"/>
      <c r="KK153"/>
      <c r="KL153"/>
      <c r="KM153"/>
      <c r="KN153"/>
      <c r="KO153"/>
      <c r="KP153"/>
      <c r="KQ153"/>
      <c r="KR153"/>
      <c r="KS153"/>
    </row>
    <row r="154" spans="2:305" hidden="1" x14ac:dyDescent="0.25">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c r="GQ154"/>
      <c r="GR154"/>
      <c r="GS154"/>
      <c r="GT154"/>
      <c r="GU154"/>
      <c r="GV154"/>
      <c r="GW154"/>
      <c r="GX154"/>
      <c r="GY154"/>
      <c r="GZ154"/>
      <c r="HA154"/>
      <c r="HB154"/>
      <c r="HC154"/>
      <c r="HD154"/>
      <c r="HE154"/>
      <c r="HF154"/>
      <c r="HG154"/>
      <c r="HH154"/>
      <c r="HI154"/>
      <c r="HJ154"/>
      <c r="HK154"/>
      <c r="HL154"/>
      <c r="HM154"/>
      <c r="HN154"/>
      <c r="HO154"/>
      <c r="HP154"/>
      <c r="HQ154"/>
      <c r="HR154"/>
      <c r="HS154"/>
      <c r="HT154"/>
      <c r="HU154"/>
      <c r="HV154"/>
      <c r="HW154"/>
      <c r="HX154"/>
      <c r="HY154"/>
      <c r="HZ154"/>
      <c r="IA154"/>
      <c r="IB154"/>
      <c r="IC154"/>
      <c r="ID154"/>
      <c r="IE154"/>
      <c r="IF154"/>
      <c r="IG154"/>
      <c r="IH154"/>
      <c r="II154"/>
      <c r="IJ154"/>
      <c r="IK154"/>
      <c r="IL154"/>
      <c r="IM154"/>
      <c r="IN154"/>
      <c r="IO154"/>
      <c r="IP154"/>
      <c r="IQ154"/>
      <c r="IR154"/>
      <c r="IS154"/>
      <c r="IT154"/>
      <c r="IU154"/>
      <c r="IV154"/>
      <c r="IW154"/>
      <c r="IX154"/>
      <c r="IY154"/>
      <c r="IZ154"/>
      <c r="JA154"/>
      <c r="JB154"/>
      <c r="JC154"/>
      <c r="JD154"/>
      <c r="JE154"/>
      <c r="JF154"/>
      <c r="JG154"/>
      <c r="JH154"/>
      <c r="JI154"/>
      <c r="JJ154"/>
      <c r="JK154"/>
      <c r="JL154"/>
      <c r="JM154"/>
      <c r="JN154"/>
      <c r="JO154"/>
      <c r="JP154"/>
      <c r="JQ154"/>
      <c r="JR154"/>
      <c r="JS154"/>
      <c r="JT154"/>
      <c r="JU154"/>
      <c r="JV154"/>
      <c r="JW154"/>
      <c r="JX154"/>
      <c r="JY154"/>
      <c r="JZ154"/>
      <c r="KA154"/>
      <c r="KB154"/>
      <c r="KC154"/>
      <c r="KD154"/>
      <c r="KE154"/>
      <c r="KF154"/>
      <c r="KG154"/>
      <c r="KH154"/>
      <c r="KI154"/>
      <c r="KJ154"/>
      <c r="KK154"/>
      <c r="KL154"/>
      <c r="KM154"/>
      <c r="KN154"/>
      <c r="KO154"/>
      <c r="KP154"/>
      <c r="KQ154"/>
      <c r="KR154"/>
      <c r="KS154"/>
    </row>
    <row r="155" spans="2:305" hidden="1" x14ac:dyDescent="0.2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c r="FX155"/>
      <c r="FY155"/>
      <c r="FZ155"/>
      <c r="GA155"/>
      <c r="GB155"/>
      <c r="GC155"/>
      <c r="GD155"/>
      <c r="GE155"/>
      <c r="GF155"/>
      <c r="GG155"/>
      <c r="GH155"/>
      <c r="GI155"/>
      <c r="GJ155"/>
      <c r="GK155"/>
      <c r="GL155"/>
      <c r="GM155"/>
      <c r="GN155"/>
      <c r="GO155"/>
      <c r="GP155"/>
      <c r="GQ155"/>
      <c r="GR155"/>
      <c r="GS155"/>
      <c r="GT155"/>
      <c r="GU155"/>
      <c r="GV155"/>
      <c r="GW155"/>
      <c r="GX155"/>
      <c r="GY155"/>
      <c r="GZ155"/>
      <c r="HA155"/>
      <c r="HB155"/>
      <c r="HC155"/>
      <c r="HD155"/>
      <c r="HE155"/>
      <c r="HF155"/>
      <c r="HG155"/>
      <c r="HH155"/>
      <c r="HI155"/>
      <c r="HJ155"/>
      <c r="HK155"/>
      <c r="HL155"/>
      <c r="HM155"/>
      <c r="HN155"/>
      <c r="HO155"/>
      <c r="HP155"/>
      <c r="HQ155"/>
      <c r="HR155"/>
      <c r="HS155"/>
      <c r="HT155"/>
      <c r="HU155"/>
      <c r="HV155"/>
      <c r="HW155"/>
      <c r="HX155"/>
      <c r="HY155"/>
      <c r="HZ155"/>
      <c r="IA155"/>
      <c r="IB155"/>
      <c r="IC155"/>
      <c r="ID155"/>
      <c r="IE155"/>
      <c r="IF155"/>
      <c r="IG155"/>
      <c r="IH155"/>
      <c r="II155"/>
      <c r="IJ155"/>
      <c r="IK155"/>
      <c r="IL155"/>
      <c r="IM155"/>
      <c r="IN155"/>
      <c r="IO155"/>
      <c r="IP155"/>
      <c r="IQ155"/>
      <c r="IR155"/>
      <c r="IS155"/>
      <c r="IT155"/>
      <c r="IU155"/>
      <c r="IV155"/>
      <c r="IW155"/>
      <c r="IX155"/>
      <c r="IY155"/>
      <c r="IZ155"/>
      <c r="JA155"/>
      <c r="JB155"/>
      <c r="JC155"/>
      <c r="JD155"/>
      <c r="JE155"/>
      <c r="JF155"/>
      <c r="JG155"/>
      <c r="JH155"/>
      <c r="JI155"/>
      <c r="JJ155"/>
      <c r="JK155"/>
      <c r="JL155"/>
      <c r="JM155"/>
      <c r="JN155"/>
      <c r="JO155"/>
      <c r="JP155"/>
      <c r="JQ155"/>
      <c r="JR155"/>
      <c r="JS155"/>
      <c r="JT155"/>
      <c r="JU155"/>
      <c r="JV155"/>
      <c r="JW155"/>
      <c r="JX155"/>
      <c r="JY155"/>
      <c r="JZ155"/>
      <c r="KA155"/>
      <c r="KB155"/>
      <c r="KC155"/>
      <c r="KD155"/>
      <c r="KE155"/>
      <c r="KF155"/>
      <c r="KG155"/>
      <c r="KH155"/>
      <c r="KI155"/>
      <c r="KJ155"/>
      <c r="KK155"/>
      <c r="KL155"/>
      <c r="KM155"/>
      <c r="KN155"/>
      <c r="KO155"/>
      <c r="KP155"/>
      <c r="KQ155"/>
      <c r="KR155"/>
      <c r="KS155"/>
    </row>
    <row r="156" spans="2:305" hidden="1" x14ac:dyDescent="0.25">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c r="FX156"/>
      <c r="FY156"/>
      <c r="FZ156"/>
      <c r="GA156"/>
      <c r="GB156"/>
      <c r="GC156"/>
      <c r="GD156"/>
      <c r="GE156"/>
      <c r="GF156"/>
      <c r="GG156"/>
      <c r="GH156"/>
      <c r="GI156"/>
      <c r="GJ156"/>
      <c r="GK156"/>
      <c r="GL156"/>
      <c r="GM156"/>
      <c r="GN156"/>
      <c r="GO156"/>
      <c r="GP156"/>
      <c r="GQ156"/>
      <c r="GR156"/>
      <c r="GS156"/>
      <c r="GT156"/>
      <c r="GU156"/>
      <c r="GV156"/>
      <c r="GW156"/>
      <c r="GX156"/>
      <c r="GY156"/>
      <c r="GZ156"/>
      <c r="HA156"/>
      <c r="HB156"/>
      <c r="HC156"/>
      <c r="HD156"/>
      <c r="HE156"/>
      <c r="HF156"/>
      <c r="HG156"/>
      <c r="HH156"/>
      <c r="HI156"/>
      <c r="HJ156"/>
      <c r="HK156"/>
      <c r="HL156"/>
      <c r="HM156"/>
      <c r="HN156"/>
      <c r="HO156"/>
      <c r="HP156"/>
      <c r="HQ156"/>
      <c r="HR156"/>
      <c r="HS156"/>
      <c r="HT156"/>
      <c r="HU156"/>
      <c r="HV156"/>
      <c r="HW156"/>
      <c r="HX156"/>
      <c r="HY156"/>
      <c r="HZ156"/>
      <c r="IA156"/>
      <c r="IB156"/>
      <c r="IC156"/>
      <c r="ID156"/>
      <c r="IE156"/>
      <c r="IF156"/>
      <c r="IG156"/>
      <c r="IH156"/>
      <c r="II156"/>
      <c r="IJ156"/>
      <c r="IK156"/>
      <c r="IL156"/>
      <c r="IM156"/>
      <c r="IN156"/>
      <c r="IO156"/>
      <c r="IP156"/>
      <c r="IQ156"/>
      <c r="IR156"/>
      <c r="IS156"/>
      <c r="IT156"/>
      <c r="IU156"/>
      <c r="IV156"/>
      <c r="IW156"/>
      <c r="IX156"/>
      <c r="IY156"/>
      <c r="IZ156"/>
      <c r="JA156"/>
      <c r="JB156"/>
      <c r="JC156"/>
      <c r="JD156"/>
      <c r="JE156"/>
      <c r="JF156"/>
      <c r="JG156"/>
      <c r="JH156"/>
      <c r="JI156"/>
      <c r="JJ156"/>
      <c r="JK156"/>
      <c r="JL156"/>
      <c r="JM156"/>
      <c r="JN156"/>
      <c r="JO156"/>
      <c r="JP156"/>
      <c r="JQ156"/>
      <c r="JR156"/>
      <c r="JS156"/>
      <c r="JT156"/>
      <c r="JU156"/>
      <c r="JV156"/>
      <c r="JW156"/>
      <c r="JX156"/>
      <c r="JY156"/>
      <c r="JZ156"/>
      <c r="KA156"/>
      <c r="KB156"/>
      <c r="KC156"/>
      <c r="KD156"/>
      <c r="KE156"/>
      <c r="KF156"/>
      <c r="KG156"/>
      <c r="KH156"/>
      <c r="KI156"/>
      <c r="KJ156"/>
      <c r="KK156"/>
      <c r="KL156"/>
      <c r="KM156"/>
      <c r="KN156"/>
      <c r="KO156"/>
      <c r="KP156"/>
      <c r="KQ156"/>
      <c r="KR156"/>
      <c r="KS156"/>
    </row>
    <row r="157" spans="2:305" hidden="1" x14ac:dyDescent="0.25">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c r="FX157"/>
      <c r="FY157"/>
      <c r="FZ157"/>
      <c r="GA157"/>
      <c r="GB157"/>
      <c r="GC157"/>
      <c r="GD157"/>
      <c r="GE157"/>
      <c r="GF157"/>
      <c r="GG157"/>
      <c r="GH157"/>
      <c r="GI157"/>
      <c r="GJ157"/>
      <c r="GK157"/>
      <c r="GL157"/>
      <c r="GM157"/>
      <c r="GN157"/>
      <c r="GO157"/>
      <c r="GP157"/>
      <c r="GQ157"/>
      <c r="GR157"/>
      <c r="GS157"/>
      <c r="GT157"/>
      <c r="GU157"/>
      <c r="GV157"/>
      <c r="GW157"/>
      <c r="GX157"/>
      <c r="GY157"/>
      <c r="GZ157"/>
      <c r="HA157"/>
      <c r="HB157"/>
      <c r="HC157"/>
      <c r="HD157"/>
      <c r="HE157"/>
      <c r="HF157"/>
      <c r="HG157"/>
      <c r="HH157"/>
      <c r="HI157"/>
      <c r="HJ157"/>
      <c r="HK157"/>
      <c r="HL157"/>
      <c r="HM157"/>
      <c r="HN157"/>
      <c r="HO157"/>
      <c r="HP157"/>
      <c r="HQ157"/>
      <c r="HR157"/>
      <c r="HS157"/>
      <c r="HT157"/>
      <c r="HU157"/>
      <c r="HV157"/>
      <c r="HW157"/>
      <c r="HX157"/>
      <c r="HY157"/>
      <c r="HZ157"/>
      <c r="IA157"/>
      <c r="IB157"/>
      <c r="IC157"/>
      <c r="ID157"/>
      <c r="IE157"/>
      <c r="IF157"/>
      <c r="IG157"/>
      <c r="IH157"/>
      <c r="II157"/>
      <c r="IJ157"/>
      <c r="IK157"/>
      <c r="IL157"/>
      <c r="IM157"/>
      <c r="IN157"/>
      <c r="IO157"/>
      <c r="IP157"/>
      <c r="IQ157"/>
      <c r="IR157"/>
      <c r="IS157"/>
      <c r="IT157"/>
      <c r="IU157"/>
      <c r="IV157"/>
      <c r="IW157"/>
      <c r="IX157"/>
      <c r="IY157"/>
      <c r="IZ157"/>
      <c r="JA157"/>
      <c r="JB157"/>
      <c r="JC157"/>
      <c r="JD157"/>
      <c r="JE157"/>
      <c r="JF157"/>
      <c r="JG157"/>
      <c r="JH157"/>
      <c r="JI157"/>
      <c r="JJ157"/>
      <c r="JK157"/>
      <c r="JL157"/>
      <c r="JM157"/>
      <c r="JN157"/>
      <c r="JO157"/>
      <c r="JP157"/>
      <c r="JQ157"/>
      <c r="JR157"/>
      <c r="JS157"/>
      <c r="JT157"/>
      <c r="JU157"/>
      <c r="JV157"/>
      <c r="JW157"/>
      <c r="JX157"/>
      <c r="JY157"/>
      <c r="JZ157"/>
      <c r="KA157"/>
      <c r="KB157"/>
      <c r="KC157"/>
      <c r="KD157"/>
      <c r="KE157"/>
      <c r="KF157"/>
      <c r="KG157"/>
      <c r="KH157"/>
      <c r="KI157"/>
      <c r="KJ157"/>
      <c r="KK157"/>
      <c r="KL157"/>
      <c r="KM157"/>
      <c r="KN157"/>
      <c r="KO157"/>
      <c r="KP157"/>
      <c r="KQ157"/>
      <c r="KR157"/>
      <c r="KS157"/>
    </row>
    <row r="158" spans="2:305" hidden="1" x14ac:dyDescent="0.25">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c r="FX158"/>
      <c r="FY158"/>
      <c r="FZ158"/>
      <c r="GA158"/>
      <c r="GB158"/>
      <c r="GC158"/>
      <c r="GD158"/>
      <c r="GE158"/>
      <c r="GF158"/>
      <c r="GG158"/>
      <c r="GH158"/>
      <c r="GI158"/>
      <c r="GJ158"/>
      <c r="GK158"/>
      <c r="GL158"/>
      <c r="GM158"/>
      <c r="GN158"/>
      <c r="GO158"/>
      <c r="GP158"/>
      <c r="GQ158"/>
      <c r="GR158"/>
      <c r="GS158"/>
      <c r="GT158"/>
      <c r="GU158"/>
      <c r="GV158"/>
      <c r="GW158"/>
      <c r="GX158"/>
      <c r="GY158"/>
      <c r="GZ158"/>
      <c r="HA158"/>
      <c r="HB158"/>
      <c r="HC158"/>
      <c r="HD158"/>
      <c r="HE158"/>
      <c r="HF158"/>
      <c r="HG158"/>
      <c r="HH158"/>
      <c r="HI158"/>
      <c r="HJ158"/>
      <c r="HK158"/>
      <c r="HL158"/>
      <c r="HM158"/>
      <c r="HN158"/>
      <c r="HO158"/>
      <c r="HP158"/>
      <c r="HQ158"/>
      <c r="HR158"/>
      <c r="HS158"/>
      <c r="HT158"/>
      <c r="HU158"/>
      <c r="HV158"/>
      <c r="HW158"/>
      <c r="HX158"/>
      <c r="HY158"/>
      <c r="HZ158"/>
      <c r="IA158"/>
      <c r="IB158"/>
      <c r="IC158"/>
      <c r="ID158"/>
      <c r="IE158"/>
      <c r="IF158"/>
      <c r="IG158"/>
      <c r="IH158"/>
      <c r="II158"/>
      <c r="IJ158"/>
      <c r="IK158"/>
      <c r="IL158"/>
      <c r="IM158"/>
      <c r="IN158"/>
      <c r="IO158"/>
      <c r="IP158"/>
      <c r="IQ158"/>
      <c r="IR158"/>
      <c r="IS158"/>
      <c r="IT158"/>
      <c r="IU158"/>
      <c r="IV158"/>
      <c r="IW158"/>
      <c r="IX158"/>
      <c r="IY158"/>
      <c r="IZ158"/>
      <c r="JA158"/>
      <c r="JB158"/>
      <c r="JC158"/>
      <c r="JD158"/>
      <c r="JE158"/>
      <c r="JF158"/>
      <c r="JG158"/>
      <c r="JH158"/>
      <c r="JI158"/>
      <c r="JJ158"/>
      <c r="JK158"/>
      <c r="JL158"/>
      <c r="JM158"/>
      <c r="JN158"/>
      <c r="JO158"/>
      <c r="JP158"/>
      <c r="JQ158"/>
      <c r="JR158"/>
      <c r="JS158"/>
      <c r="JT158"/>
      <c r="JU158"/>
      <c r="JV158"/>
      <c r="JW158"/>
      <c r="JX158"/>
      <c r="JY158"/>
      <c r="JZ158"/>
      <c r="KA158"/>
      <c r="KB158"/>
      <c r="KC158"/>
      <c r="KD158"/>
      <c r="KE158"/>
      <c r="KF158"/>
      <c r="KG158"/>
      <c r="KH158"/>
      <c r="KI158"/>
      <c r="KJ158"/>
      <c r="KK158"/>
      <c r="KL158"/>
      <c r="KM158"/>
      <c r="KN158"/>
      <c r="KO158"/>
      <c r="KP158"/>
      <c r="KQ158"/>
      <c r="KR158"/>
      <c r="KS158"/>
    </row>
    <row r="159" spans="2:305" hidden="1" x14ac:dyDescent="0.25">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c r="FX159"/>
      <c r="FY159"/>
      <c r="FZ159"/>
      <c r="GA159"/>
      <c r="GB159"/>
      <c r="GC159"/>
      <c r="GD159"/>
      <c r="GE159"/>
      <c r="GF159"/>
      <c r="GG159"/>
      <c r="GH159"/>
      <c r="GI159"/>
      <c r="GJ159"/>
      <c r="GK159"/>
      <c r="GL159"/>
      <c r="GM159"/>
      <c r="GN159"/>
      <c r="GO159"/>
      <c r="GP159"/>
      <c r="GQ159"/>
      <c r="GR159"/>
      <c r="GS159"/>
      <c r="GT159"/>
      <c r="GU159"/>
      <c r="GV159"/>
      <c r="GW159"/>
      <c r="GX159"/>
      <c r="GY159"/>
      <c r="GZ159"/>
      <c r="HA159"/>
      <c r="HB159"/>
      <c r="HC159"/>
      <c r="HD159"/>
      <c r="HE159"/>
      <c r="HF159"/>
      <c r="HG159"/>
      <c r="HH159"/>
      <c r="HI159"/>
      <c r="HJ159"/>
      <c r="HK159"/>
      <c r="HL159"/>
      <c r="HM159"/>
      <c r="HN159"/>
      <c r="HO159"/>
      <c r="HP159"/>
      <c r="HQ159"/>
      <c r="HR159"/>
      <c r="HS159"/>
      <c r="HT159"/>
      <c r="HU159"/>
      <c r="HV159"/>
      <c r="HW159"/>
      <c r="HX159"/>
      <c r="HY159"/>
      <c r="HZ159"/>
      <c r="IA159"/>
      <c r="IB159"/>
      <c r="IC159"/>
      <c r="ID159"/>
      <c r="IE159"/>
      <c r="IF159"/>
      <c r="IG159"/>
      <c r="IH159"/>
      <c r="II159"/>
      <c r="IJ159"/>
      <c r="IK159"/>
      <c r="IL159"/>
      <c r="IM159"/>
      <c r="IN159"/>
      <c r="IO159"/>
      <c r="IP159"/>
      <c r="IQ159"/>
      <c r="IR159"/>
      <c r="IS159"/>
      <c r="IT159"/>
      <c r="IU159"/>
      <c r="IV159"/>
      <c r="IW159"/>
      <c r="IX159"/>
      <c r="IY159"/>
      <c r="IZ159"/>
      <c r="JA159"/>
      <c r="JB159"/>
      <c r="JC159"/>
      <c r="JD159"/>
      <c r="JE159"/>
      <c r="JF159"/>
      <c r="JG159"/>
      <c r="JH159"/>
      <c r="JI159"/>
      <c r="JJ159"/>
      <c r="JK159"/>
      <c r="JL159"/>
      <c r="JM159"/>
      <c r="JN159"/>
      <c r="JO159"/>
      <c r="JP159"/>
      <c r="JQ159"/>
      <c r="JR159"/>
      <c r="JS159"/>
      <c r="JT159"/>
      <c r="JU159"/>
      <c r="JV159"/>
      <c r="JW159"/>
      <c r="JX159"/>
      <c r="JY159"/>
      <c r="JZ159"/>
      <c r="KA159"/>
      <c r="KB159"/>
      <c r="KC159"/>
      <c r="KD159"/>
      <c r="KE159"/>
      <c r="KF159"/>
      <c r="KG159"/>
      <c r="KH159"/>
      <c r="KI159"/>
      <c r="KJ159"/>
      <c r="KK159"/>
      <c r="KL159"/>
      <c r="KM159"/>
      <c r="KN159"/>
      <c r="KO159"/>
      <c r="KP159"/>
      <c r="KQ159"/>
      <c r="KR159"/>
      <c r="KS159"/>
    </row>
    <row r="160" spans="2:305" hidden="1" x14ac:dyDescent="0.25">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c r="FX160"/>
      <c r="FY160"/>
      <c r="FZ160"/>
      <c r="GA160"/>
      <c r="GB160"/>
      <c r="GC160"/>
      <c r="GD160"/>
      <c r="GE160"/>
      <c r="GF160"/>
      <c r="GG160"/>
      <c r="GH160"/>
      <c r="GI160"/>
      <c r="GJ160"/>
      <c r="GK160"/>
      <c r="GL160"/>
      <c r="GM160"/>
      <c r="GN160"/>
      <c r="GO160"/>
      <c r="GP160"/>
      <c r="GQ160"/>
      <c r="GR160"/>
      <c r="GS160"/>
      <c r="GT160"/>
      <c r="GU160"/>
      <c r="GV160"/>
      <c r="GW160"/>
      <c r="GX160"/>
      <c r="GY160"/>
      <c r="GZ160"/>
      <c r="HA160"/>
      <c r="HB160"/>
      <c r="HC160"/>
      <c r="HD160"/>
      <c r="HE160"/>
      <c r="HF160"/>
      <c r="HG160"/>
      <c r="HH160"/>
      <c r="HI160"/>
      <c r="HJ160"/>
      <c r="HK160"/>
      <c r="HL160"/>
      <c r="HM160"/>
      <c r="HN160"/>
      <c r="HO160"/>
      <c r="HP160"/>
      <c r="HQ160"/>
      <c r="HR160"/>
      <c r="HS160"/>
      <c r="HT160"/>
      <c r="HU160"/>
      <c r="HV160"/>
      <c r="HW160"/>
      <c r="HX160"/>
      <c r="HY160"/>
      <c r="HZ160"/>
      <c r="IA160"/>
      <c r="IB160"/>
      <c r="IC160"/>
      <c r="ID160"/>
      <c r="IE160"/>
      <c r="IF160"/>
      <c r="IG160"/>
      <c r="IH160"/>
      <c r="II160"/>
      <c r="IJ160"/>
      <c r="IK160"/>
      <c r="IL160"/>
      <c r="IM160"/>
      <c r="IN160"/>
      <c r="IO160"/>
      <c r="IP160"/>
      <c r="IQ160"/>
      <c r="IR160"/>
      <c r="IS160"/>
      <c r="IT160"/>
      <c r="IU160"/>
      <c r="IV160"/>
      <c r="IW160"/>
      <c r="IX160"/>
      <c r="IY160"/>
      <c r="IZ160"/>
      <c r="JA160"/>
      <c r="JB160"/>
      <c r="JC160"/>
      <c r="JD160"/>
      <c r="JE160"/>
      <c r="JF160"/>
      <c r="JG160"/>
      <c r="JH160"/>
      <c r="JI160"/>
      <c r="JJ160"/>
      <c r="JK160"/>
      <c r="JL160"/>
      <c r="JM160"/>
      <c r="JN160"/>
      <c r="JO160"/>
      <c r="JP160"/>
      <c r="JQ160"/>
      <c r="JR160"/>
      <c r="JS160"/>
      <c r="JT160"/>
      <c r="JU160"/>
      <c r="JV160"/>
      <c r="JW160"/>
      <c r="JX160"/>
      <c r="JY160"/>
      <c r="JZ160"/>
      <c r="KA160"/>
      <c r="KB160"/>
      <c r="KC160"/>
      <c r="KD160"/>
      <c r="KE160"/>
      <c r="KF160"/>
      <c r="KG160"/>
      <c r="KH160"/>
      <c r="KI160"/>
      <c r="KJ160"/>
      <c r="KK160"/>
      <c r="KL160"/>
      <c r="KM160"/>
      <c r="KN160"/>
      <c r="KO160"/>
      <c r="KP160"/>
      <c r="KQ160"/>
      <c r="KR160"/>
      <c r="KS160"/>
    </row>
    <row r="161" spans="2:305" hidden="1" x14ac:dyDescent="0.25">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c r="FX161"/>
      <c r="FY161"/>
      <c r="FZ161"/>
      <c r="GA161"/>
      <c r="GB161"/>
      <c r="GC161"/>
      <c r="GD161"/>
      <c r="GE161"/>
      <c r="GF161"/>
      <c r="GG161"/>
      <c r="GH161"/>
      <c r="GI161"/>
      <c r="GJ161"/>
      <c r="GK161"/>
      <c r="GL161"/>
      <c r="GM161"/>
      <c r="GN161"/>
      <c r="GO161"/>
      <c r="GP161"/>
      <c r="GQ161"/>
      <c r="GR161"/>
      <c r="GS161"/>
      <c r="GT161"/>
      <c r="GU161"/>
      <c r="GV161"/>
      <c r="GW161"/>
      <c r="GX161"/>
      <c r="GY161"/>
      <c r="GZ161"/>
      <c r="HA161"/>
      <c r="HB161"/>
      <c r="HC161"/>
      <c r="HD161"/>
      <c r="HE161"/>
      <c r="HF161"/>
      <c r="HG161"/>
      <c r="HH161"/>
      <c r="HI161"/>
      <c r="HJ161"/>
      <c r="HK161"/>
      <c r="HL161"/>
      <c r="HM161"/>
      <c r="HN161"/>
      <c r="HO161"/>
      <c r="HP161"/>
      <c r="HQ161"/>
      <c r="HR161"/>
      <c r="HS161"/>
      <c r="HT161"/>
      <c r="HU161"/>
      <c r="HV161"/>
      <c r="HW161"/>
      <c r="HX161"/>
      <c r="HY161"/>
      <c r="HZ161"/>
      <c r="IA161"/>
      <c r="IB161"/>
      <c r="IC161"/>
      <c r="ID161"/>
      <c r="IE161"/>
      <c r="IF161"/>
      <c r="IG161"/>
      <c r="IH161"/>
      <c r="II161"/>
      <c r="IJ161"/>
      <c r="IK161"/>
      <c r="IL161"/>
      <c r="IM161"/>
      <c r="IN161"/>
      <c r="IO161"/>
      <c r="IP161"/>
      <c r="IQ161"/>
      <c r="IR161"/>
      <c r="IS161"/>
      <c r="IT161"/>
      <c r="IU161"/>
      <c r="IV161"/>
      <c r="IW161"/>
      <c r="IX161"/>
      <c r="IY161"/>
      <c r="IZ161"/>
      <c r="JA161"/>
      <c r="JB161"/>
      <c r="JC161"/>
      <c r="JD161"/>
      <c r="JE161"/>
      <c r="JF161"/>
      <c r="JG161"/>
      <c r="JH161"/>
      <c r="JI161"/>
      <c r="JJ161"/>
      <c r="JK161"/>
      <c r="JL161"/>
      <c r="JM161"/>
      <c r="JN161"/>
      <c r="JO161"/>
      <c r="JP161"/>
      <c r="JQ161"/>
      <c r="JR161"/>
      <c r="JS161"/>
      <c r="JT161"/>
      <c r="JU161"/>
      <c r="JV161"/>
      <c r="JW161"/>
      <c r="JX161"/>
      <c r="JY161"/>
      <c r="JZ161"/>
      <c r="KA161"/>
      <c r="KB161"/>
      <c r="KC161"/>
      <c r="KD161"/>
      <c r="KE161"/>
      <c r="KF161"/>
      <c r="KG161"/>
      <c r="KH161"/>
      <c r="KI161"/>
      <c r="KJ161"/>
      <c r="KK161"/>
      <c r="KL161"/>
      <c r="KM161"/>
      <c r="KN161"/>
      <c r="KO161"/>
      <c r="KP161"/>
      <c r="KQ161"/>
      <c r="KR161"/>
      <c r="KS161"/>
    </row>
    <row r="162" spans="2:305" hidden="1" x14ac:dyDescent="0.25">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c r="FX162"/>
      <c r="FY162"/>
      <c r="FZ162"/>
      <c r="GA162"/>
      <c r="GB162"/>
      <c r="GC162"/>
      <c r="GD162"/>
      <c r="GE162"/>
      <c r="GF162"/>
      <c r="GG162"/>
      <c r="GH162"/>
      <c r="GI162"/>
      <c r="GJ162"/>
      <c r="GK162"/>
      <c r="GL162"/>
      <c r="GM162"/>
      <c r="GN162"/>
      <c r="GO162"/>
      <c r="GP162"/>
      <c r="GQ162"/>
      <c r="GR162"/>
      <c r="GS162"/>
      <c r="GT162"/>
      <c r="GU162"/>
      <c r="GV162"/>
      <c r="GW162"/>
      <c r="GX162"/>
      <c r="GY162"/>
      <c r="GZ162"/>
      <c r="HA162"/>
      <c r="HB162"/>
      <c r="HC162"/>
      <c r="HD162"/>
      <c r="HE162"/>
      <c r="HF162"/>
      <c r="HG162"/>
      <c r="HH162"/>
      <c r="HI162"/>
      <c r="HJ162"/>
      <c r="HK162"/>
      <c r="HL162"/>
      <c r="HM162"/>
      <c r="HN162"/>
      <c r="HO162"/>
      <c r="HP162"/>
      <c r="HQ162"/>
      <c r="HR162"/>
      <c r="HS162"/>
      <c r="HT162"/>
      <c r="HU162"/>
      <c r="HV162"/>
      <c r="HW162"/>
      <c r="HX162"/>
      <c r="HY162"/>
      <c r="HZ162"/>
      <c r="IA162"/>
      <c r="IB162"/>
      <c r="IC162"/>
      <c r="ID162"/>
      <c r="IE162"/>
      <c r="IF162"/>
      <c r="IG162"/>
      <c r="IH162"/>
      <c r="II162"/>
      <c r="IJ162"/>
      <c r="IK162"/>
      <c r="IL162"/>
      <c r="IM162"/>
      <c r="IN162"/>
      <c r="IO162"/>
      <c r="IP162"/>
      <c r="IQ162"/>
      <c r="IR162"/>
      <c r="IS162"/>
      <c r="IT162"/>
      <c r="IU162"/>
      <c r="IV162"/>
      <c r="IW162"/>
      <c r="IX162"/>
      <c r="IY162"/>
      <c r="IZ162"/>
      <c r="JA162"/>
      <c r="JB162"/>
      <c r="JC162"/>
      <c r="JD162"/>
      <c r="JE162"/>
      <c r="JF162"/>
      <c r="JG162"/>
      <c r="JH162"/>
      <c r="JI162"/>
      <c r="JJ162"/>
      <c r="JK162"/>
      <c r="JL162"/>
      <c r="JM162"/>
      <c r="JN162"/>
      <c r="JO162"/>
      <c r="JP162"/>
      <c r="JQ162"/>
      <c r="JR162"/>
      <c r="JS162"/>
      <c r="JT162"/>
      <c r="JU162"/>
      <c r="JV162"/>
      <c r="JW162"/>
      <c r="JX162"/>
      <c r="JY162"/>
      <c r="JZ162"/>
      <c r="KA162"/>
      <c r="KB162"/>
      <c r="KC162"/>
      <c r="KD162"/>
      <c r="KE162"/>
      <c r="KF162"/>
      <c r="KG162"/>
      <c r="KH162"/>
      <c r="KI162"/>
      <c r="KJ162"/>
      <c r="KK162"/>
      <c r="KL162"/>
      <c r="KM162"/>
      <c r="KN162"/>
      <c r="KO162"/>
      <c r="KP162"/>
      <c r="KQ162"/>
      <c r="KR162"/>
      <c r="KS162"/>
    </row>
    <row r="163" spans="2:305" hidden="1" x14ac:dyDescent="0.25">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c r="FX163"/>
      <c r="FY163"/>
      <c r="FZ163"/>
      <c r="GA163"/>
      <c r="GB163"/>
      <c r="GC163"/>
      <c r="GD163"/>
      <c r="GE163"/>
      <c r="GF163"/>
      <c r="GG163"/>
      <c r="GH163"/>
      <c r="GI163"/>
      <c r="GJ163"/>
      <c r="GK163"/>
      <c r="GL163"/>
      <c r="GM163"/>
      <c r="GN163"/>
      <c r="GO163"/>
      <c r="GP163"/>
      <c r="GQ163"/>
      <c r="GR163"/>
      <c r="GS163"/>
      <c r="GT163"/>
      <c r="GU163"/>
      <c r="GV163"/>
      <c r="GW163"/>
      <c r="GX163"/>
      <c r="GY163"/>
      <c r="GZ163"/>
      <c r="HA163"/>
      <c r="HB163"/>
      <c r="HC163"/>
      <c r="HD163"/>
      <c r="HE163"/>
      <c r="HF163"/>
      <c r="HG163"/>
      <c r="HH163"/>
      <c r="HI163"/>
      <c r="HJ163"/>
      <c r="HK163"/>
      <c r="HL163"/>
      <c r="HM163"/>
      <c r="HN163"/>
      <c r="HO163"/>
      <c r="HP163"/>
      <c r="HQ163"/>
      <c r="HR163"/>
      <c r="HS163"/>
      <c r="HT163"/>
      <c r="HU163"/>
      <c r="HV163"/>
      <c r="HW163"/>
      <c r="HX163"/>
      <c r="HY163"/>
      <c r="HZ163"/>
      <c r="IA163"/>
      <c r="IB163"/>
      <c r="IC163"/>
      <c r="ID163"/>
      <c r="IE163"/>
      <c r="IF163"/>
      <c r="IG163"/>
      <c r="IH163"/>
      <c r="II163"/>
      <c r="IJ163"/>
      <c r="IK163"/>
      <c r="IL163"/>
      <c r="IM163"/>
      <c r="IN163"/>
      <c r="IO163"/>
      <c r="IP163"/>
      <c r="IQ163"/>
      <c r="IR163"/>
      <c r="IS163"/>
      <c r="IT163"/>
      <c r="IU163"/>
      <c r="IV163"/>
      <c r="IW163"/>
      <c r="IX163"/>
      <c r="IY163"/>
      <c r="IZ163"/>
      <c r="JA163"/>
      <c r="JB163"/>
      <c r="JC163"/>
      <c r="JD163"/>
      <c r="JE163"/>
      <c r="JF163"/>
      <c r="JG163"/>
      <c r="JH163"/>
      <c r="JI163"/>
      <c r="JJ163"/>
      <c r="JK163"/>
      <c r="JL163"/>
      <c r="JM163"/>
      <c r="JN163"/>
      <c r="JO163"/>
      <c r="JP163"/>
      <c r="JQ163"/>
      <c r="JR163"/>
      <c r="JS163"/>
      <c r="JT163"/>
      <c r="JU163"/>
      <c r="JV163"/>
      <c r="JW163"/>
      <c r="JX163"/>
      <c r="JY163"/>
      <c r="JZ163"/>
      <c r="KA163"/>
      <c r="KB163"/>
      <c r="KC163"/>
      <c r="KD163"/>
      <c r="KE163"/>
      <c r="KF163"/>
      <c r="KG163"/>
      <c r="KH163"/>
      <c r="KI163"/>
      <c r="KJ163"/>
      <c r="KK163"/>
      <c r="KL163"/>
      <c r="KM163"/>
      <c r="KN163"/>
      <c r="KO163"/>
      <c r="KP163"/>
      <c r="KQ163"/>
      <c r="KR163"/>
      <c r="KS163"/>
    </row>
    <row r="164" spans="2:305" hidden="1" x14ac:dyDescent="0.25">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c r="FX164"/>
      <c r="FY164"/>
      <c r="FZ164"/>
      <c r="GA164"/>
      <c r="GB164"/>
      <c r="GC164"/>
      <c r="GD164"/>
      <c r="GE164"/>
      <c r="GF164"/>
      <c r="GG164"/>
      <c r="GH164"/>
      <c r="GI164"/>
      <c r="GJ164"/>
      <c r="GK164"/>
      <c r="GL164"/>
      <c r="GM164"/>
      <c r="GN164"/>
      <c r="GO164"/>
      <c r="GP164"/>
      <c r="GQ164"/>
      <c r="GR164"/>
      <c r="GS164"/>
      <c r="GT164"/>
      <c r="GU164"/>
      <c r="GV164"/>
      <c r="GW164"/>
      <c r="GX164"/>
      <c r="GY164"/>
      <c r="GZ164"/>
      <c r="HA164"/>
      <c r="HB164"/>
      <c r="HC164"/>
      <c r="HD164"/>
      <c r="HE164"/>
      <c r="HF164"/>
      <c r="HG164"/>
      <c r="HH164"/>
      <c r="HI164"/>
      <c r="HJ164"/>
      <c r="HK164"/>
      <c r="HL164"/>
      <c r="HM164"/>
      <c r="HN164"/>
      <c r="HO164"/>
      <c r="HP164"/>
      <c r="HQ164"/>
      <c r="HR164"/>
      <c r="HS164"/>
      <c r="HT164"/>
      <c r="HU164"/>
      <c r="HV164"/>
      <c r="HW164"/>
      <c r="HX164"/>
      <c r="HY164"/>
      <c r="HZ164"/>
      <c r="IA164"/>
      <c r="IB164"/>
      <c r="IC164"/>
      <c r="ID164"/>
      <c r="IE164"/>
      <c r="IF164"/>
      <c r="IG164"/>
      <c r="IH164"/>
      <c r="II164"/>
      <c r="IJ164"/>
      <c r="IK164"/>
      <c r="IL164"/>
      <c r="IM164"/>
      <c r="IN164"/>
      <c r="IO164"/>
      <c r="IP164"/>
      <c r="IQ164"/>
      <c r="IR164"/>
      <c r="IS164"/>
      <c r="IT164"/>
      <c r="IU164"/>
      <c r="IV164"/>
      <c r="IW164"/>
      <c r="IX164"/>
      <c r="IY164"/>
      <c r="IZ164"/>
      <c r="JA164"/>
      <c r="JB164"/>
      <c r="JC164"/>
      <c r="JD164"/>
      <c r="JE164"/>
      <c r="JF164"/>
      <c r="JG164"/>
      <c r="JH164"/>
      <c r="JI164"/>
      <c r="JJ164"/>
      <c r="JK164"/>
      <c r="JL164"/>
      <c r="JM164"/>
      <c r="JN164"/>
      <c r="JO164"/>
      <c r="JP164"/>
      <c r="JQ164"/>
      <c r="JR164"/>
      <c r="JS164"/>
      <c r="JT164"/>
      <c r="JU164"/>
      <c r="JV164"/>
      <c r="JW164"/>
      <c r="JX164"/>
      <c r="JY164"/>
      <c r="JZ164"/>
      <c r="KA164"/>
      <c r="KB164"/>
      <c r="KC164"/>
      <c r="KD164"/>
      <c r="KE164"/>
      <c r="KF164"/>
      <c r="KG164"/>
      <c r="KH164"/>
      <c r="KI164"/>
      <c r="KJ164"/>
      <c r="KK164"/>
      <c r="KL164"/>
      <c r="KM164"/>
      <c r="KN164"/>
      <c r="KO164"/>
      <c r="KP164"/>
      <c r="KQ164"/>
      <c r="KR164"/>
      <c r="KS164"/>
    </row>
    <row r="165" spans="2:305" hidden="1" x14ac:dyDescent="0.2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c r="FX165"/>
      <c r="FY165"/>
      <c r="FZ165"/>
      <c r="GA165"/>
      <c r="GB165"/>
      <c r="GC165"/>
      <c r="GD165"/>
      <c r="GE165"/>
      <c r="GF165"/>
      <c r="GG165"/>
      <c r="GH165"/>
      <c r="GI165"/>
      <c r="GJ165"/>
      <c r="GK165"/>
      <c r="GL165"/>
      <c r="GM165"/>
      <c r="GN165"/>
      <c r="GO165"/>
      <c r="GP165"/>
      <c r="GQ165"/>
      <c r="GR165"/>
      <c r="GS165"/>
      <c r="GT165"/>
      <c r="GU165"/>
      <c r="GV165"/>
      <c r="GW165"/>
      <c r="GX165"/>
      <c r="GY165"/>
      <c r="GZ165"/>
      <c r="HA165"/>
      <c r="HB165"/>
      <c r="HC165"/>
      <c r="HD165"/>
      <c r="HE165"/>
      <c r="HF165"/>
      <c r="HG165"/>
      <c r="HH165"/>
      <c r="HI165"/>
      <c r="HJ165"/>
      <c r="HK165"/>
      <c r="HL165"/>
      <c r="HM165"/>
      <c r="HN165"/>
      <c r="HO165"/>
      <c r="HP165"/>
      <c r="HQ165"/>
      <c r="HR165"/>
      <c r="HS165"/>
      <c r="HT165"/>
      <c r="HU165"/>
      <c r="HV165"/>
      <c r="HW165"/>
      <c r="HX165"/>
      <c r="HY165"/>
      <c r="HZ165"/>
      <c r="IA165"/>
      <c r="IB165"/>
      <c r="IC165"/>
      <c r="ID165"/>
      <c r="IE165"/>
      <c r="IF165"/>
      <c r="IG165"/>
      <c r="IH165"/>
      <c r="II165"/>
      <c r="IJ165"/>
      <c r="IK165"/>
      <c r="IL165"/>
      <c r="IM165"/>
      <c r="IN165"/>
      <c r="IO165"/>
      <c r="IP165"/>
      <c r="IQ165"/>
      <c r="IR165"/>
      <c r="IS165"/>
      <c r="IT165"/>
      <c r="IU165"/>
      <c r="IV165"/>
      <c r="IW165"/>
      <c r="IX165"/>
      <c r="IY165"/>
      <c r="IZ165"/>
      <c r="JA165"/>
      <c r="JB165"/>
      <c r="JC165"/>
      <c r="JD165"/>
      <c r="JE165"/>
      <c r="JF165"/>
      <c r="JG165"/>
      <c r="JH165"/>
      <c r="JI165"/>
      <c r="JJ165"/>
      <c r="JK165"/>
      <c r="JL165"/>
      <c r="JM165"/>
      <c r="JN165"/>
      <c r="JO165"/>
      <c r="JP165"/>
      <c r="JQ165"/>
      <c r="JR165"/>
      <c r="JS165"/>
      <c r="JT165"/>
      <c r="JU165"/>
      <c r="JV165"/>
      <c r="JW165"/>
      <c r="JX165"/>
      <c r="JY165"/>
      <c r="JZ165"/>
      <c r="KA165"/>
      <c r="KB165"/>
      <c r="KC165"/>
      <c r="KD165"/>
      <c r="KE165"/>
      <c r="KF165"/>
      <c r="KG165"/>
      <c r="KH165"/>
      <c r="KI165"/>
      <c r="KJ165"/>
      <c r="KK165"/>
      <c r="KL165"/>
      <c r="KM165"/>
      <c r="KN165"/>
      <c r="KO165"/>
      <c r="KP165"/>
      <c r="KQ165"/>
      <c r="KR165"/>
      <c r="KS165"/>
    </row>
    <row r="166" spans="2:305" hidden="1" x14ac:dyDescent="0.25">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c r="FQ166"/>
      <c r="FR166"/>
      <c r="FS166"/>
      <c r="FT166"/>
      <c r="FU166"/>
      <c r="FV166"/>
      <c r="FW166"/>
      <c r="FX166"/>
      <c r="FY166"/>
      <c r="FZ166"/>
      <c r="GA166"/>
      <c r="GB166"/>
      <c r="GC166"/>
      <c r="GD166"/>
      <c r="GE166"/>
      <c r="GF166"/>
      <c r="GG166"/>
      <c r="GH166"/>
      <c r="GI166"/>
      <c r="GJ166"/>
      <c r="GK166"/>
      <c r="GL166"/>
      <c r="GM166"/>
      <c r="GN166"/>
      <c r="GO166"/>
      <c r="GP166"/>
      <c r="GQ166"/>
      <c r="GR166"/>
      <c r="GS166"/>
      <c r="GT166"/>
      <c r="GU166"/>
      <c r="GV166"/>
      <c r="GW166"/>
      <c r="GX166"/>
      <c r="GY166"/>
      <c r="GZ166"/>
      <c r="HA166"/>
      <c r="HB166"/>
      <c r="HC166"/>
      <c r="HD166"/>
      <c r="HE166"/>
      <c r="HF166"/>
      <c r="HG166"/>
      <c r="HH166"/>
      <c r="HI166"/>
      <c r="HJ166"/>
      <c r="HK166"/>
      <c r="HL166"/>
      <c r="HM166"/>
      <c r="HN166"/>
      <c r="HO166"/>
      <c r="HP166"/>
      <c r="HQ166"/>
      <c r="HR166"/>
      <c r="HS166"/>
      <c r="HT166"/>
      <c r="HU166"/>
      <c r="HV166"/>
      <c r="HW166"/>
      <c r="HX166"/>
      <c r="HY166"/>
      <c r="HZ166"/>
      <c r="IA166"/>
      <c r="IB166"/>
      <c r="IC166"/>
      <c r="ID166"/>
      <c r="IE166"/>
      <c r="IF166"/>
      <c r="IG166"/>
      <c r="IH166"/>
      <c r="II166"/>
      <c r="IJ166"/>
      <c r="IK166"/>
      <c r="IL166"/>
      <c r="IM166"/>
      <c r="IN166"/>
      <c r="IO166"/>
      <c r="IP166"/>
      <c r="IQ166"/>
      <c r="IR166"/>
      <c r="IS166"/>
      <c r="IT166"/>
      <c r="IU166"/>
      <c r="IV166"/>
      <c r="IW166"/>
      <c r="IX166"/>
      <c r="IY166"/>
      <c r="IZ166"/>
      <c r="JA166"/>
      <c r="JB166"/>
      <c r="JC166"/>
      <c r="JD166"/>
      <c r="JE166"/>
      <c r="JF166"/>
      <c r="JG166"/>
      <c r="JH166"/>
      <c r="JI166"/>
      <c r="JJ166"/>
      <c r="JK166"/>
      <c r="JL166"/>
      <c r="JM166"/>
      <c r="JN166"/>
      <c r="JO166"/>
      <c r="JP166"/>
      <c r="JQ166"/>
      <c r="JR166"/>
      <c r="JS166"/>
      <c r="JT166"/>
      <c r="JU166"/>
      <c r="JV166"/>
      <c r="JW166"/>
      <c r="JX166"/>
      <c r="JY166"/>
      <c r="JZ166"/>
      <c r="KA166"/>
      <c r="KB166"/>
      <c r="KC166"/>
      <c r="KD166"/>
      <c r="KE166"/>
      <c r="KF166"/>
      <c r="KG166"/>
      <c r="KH166"/>
      <c r="KI166"/>
      <c r="KJ166"/>
      <c r="KK166"/>
      <c r="KL166"/>
      <c r="KM166"/>
      <c r="KN166"/>
      <c r="KO166"/>
      <c r="KP166"/>
      <c r="KQ166"/>
      <c r="KR166"/>
      <c r="KS166"/>
    </row>
    <row r="167" spans="2:305" hidden="1" x14ac:dyDescent="0.25">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c r="FQ167"/>
      <c r="FR167"/>
      <c r="FS167"/>
      <c r="FT167"/>
      <c r="FU167"/>
      <c r="FV167"/>
      <c r="FW167"/>
      <c r="FX167"/>
      <c r="FY167"/>
      <c r="FZ167"/>
      <c r="GA167"/>
      <c r="GB167"/>
      <c r="GC167"/>
      <c r="GD167"/>
      <c r="GE167"/>
      <c r="GF167"/>
      <c r="GG167"/>
      <c r="GH167"/>
      <c r="GI167"/>
      <c r="GJ167"/>
      <c r="GK167"/>
      <c r="GL167"/>
      <c r="GM167"/>
      <c r="GN167"/>
      <c r="GO167"/>
      <c r="GP167"/>
      <c r="GQ167"/>
      <c r="GR167"/>
      <c r="GS167"/>
      <c r="GT167"/>
      <c r="GU167"/>
      <c r="GV167"/>
      <c r="GW167"/>
      <c r="GX167"/>
      <c r="GY167"/>
      <c r="GZ167"/>
      <c r="HA167"/>
      <c r="HB167"/>
      <c r="HC167"/>
      <c r="HD167"/>
      <c r="HE167"/>
      <c r="HF167"/>
      <c r="HG167"/>
      <c r="HH167"/>
      <c r="HI167"/>
      <c r="HJ167"/>
      <c r="HK167"/>
      <c r="HL167"/>
      <c r="HM167"/>
      <c r="HN167"/>
      <c r="HO167"/>
      <c r="HP167"/>
      <c r="HQ167"/>
      <c r="HR167"/>
      <c r="HS167"/>
      <c r="HT167"/>
      <c r="HU167"/>
      <c r="HV167"/>
      <c r="HW167"/>
      <c r="HX167"/>
      <c r="HY167"/>
      <c r="HZ167"/>
      <c r="IA167"/>
      <c r="IB167"/>
      <c r="IC167"/>
      <c r="ID167"/>
      <c r="IE167"/>
      <c r="IF167"/>
      <c r="IG167"/>
      <c r="IH167"/>
      <c r="II167"/>
      <c r="IJ167"/>
      <c r="IK167"/>
      <c r="IL167"/>
      <c r="IM167"/>
      <c r="IN167"/>
      <c r="IO167"/>
      <c r="IP167"/>
      <c r="IQ167"/>
      <c r="IR167"/>
      <c r="IS167"/>
      <c r="IT167"/>
      <c r="IU167"/>
      <c r="IV167"/>
      <c r="IW167"/>
      <c r="IX167"/>
      <c r="IY167"/>
      <c r="IZ167"/>
      <c r="JA167"/>
      <c r="JB167"/>
      <c r="JC167"/>
      <c r="JD167"/>
      <c r="JE167"/>
      <c r="JF167"/>
      <c r="JG167"/>
      <c r="JH167"/>
      <c r="JI167"/>
      <c r="JJ167"/>
      <c r="JK167"/>
      <c r="JL167"/>
      <c r="JM167"/>
      <c r="JN167"/>
      <c r="JO167"/>
      <c r="JP167"/>
      <c r="JQ167"/>
      <c r="JR167"/>
      <c r="JS167"/>
      <c r="JT167"/>
      <c r="JU167"/>
      <c r="JV167"/>
      <c r="JW167"/>
      <c r="JX167"/>
      <c r="JY167"/>
      <c r="JZ167"/>
      <c r="KA167"/>
      <c r="KB167"/>
      <c r="KC167"/>
      <c r="KD167"/>
      <c r="KE167"/>
      <c r="KF167"/>
      <c r="KG167"/>
      <c r="KH167"/>
      <c r="KI167"/>
      <c r="KJ167"/>
      <c r="KK167"/>
      <c r="KL167"/>
      <c r="KM167"/>
      <c r="KN167"/>
      <c r="KO167"/>
      <c r="KP167"/>
      <c r="KQ167"/>
      <c r="KR167"/>
      <c r="KS167"/>
    </row>
    <row r="168" spans="2:305" hidden="1" x14ac:dyDescent="0.25">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c r="FQ168"/>
      <c r="FR168"/>
      <c r="FS168"/>
      <c r="FT168"/>
      <c r="FU168"/>
      <c r="FV168"/>
      <c r="FW168"/>
      <c r="FX168"/>
      <c r="FY168"/>
      <c r="FZ168"/>
      <c r="GA168"/>
      <c r="GB168"/>
      <c r="GC168"/>
      <c r="GD168"/>
      <c r="GE168"/>
      <c r="GF168"/>
      <c r="GG168"/>
      <c r="GH168"/>
      <c r="GI168"/>
      <c r="GJ168"/>
      <c r="GK168"/>
      <c r="GL168"/>
      <c r="GM168"/>
      <c r="GN168"/>
      <c r="GO168"/>
      <c r="GP168"/>
      <c r="GQ168"/>
      <c r="GR168"/>
      <c r="GS168"/>
      <c r="GT168"/>
      <c r="GU168"/>
      <c r="GV168"/>
      <c r="GW168"/>
      <c r="GX168"/>
      <c r="GY168"/>
      <c r="GZ168"/>
      <c r="HA168"/>
      <c r="HB168"/>
      <c r="HC168"/>
      <c r="HD168"/>
      <c r="HE168"/>
      <c r="HF168"/>
      <c r="HG168"/>
      <c r="HH168"/>
      <c r="HI168"/>
      <c r="HJ168"/>
      <c r="HK168"/>
      <c r="HL168"/>
      <c r="HM168"/>
      <c r="HN168"/>
      <c r="HO168"/>
      <c r="HP168"/>
      <c r="HQ168"/>
      <c r="HR168"/>
      <c r="HS168"/>
      <c r="HT168"/>
      <c r="HU168"/>
      <c r="HV168"/>
      <c r="HW168"/>
      <c r="HX168"/>
      <c r="HY168"/>
      <c r="HZ168"/>
      <c r="IA168"/>
      <c r="IB168"/>
      <c r="IC168"/>
      <c r="ID168"/>
      <c r="IE168"/>
      <c r="IF168"/>
      <c r="IG168"/>
      <c r="IH168"/>
      <c r="II168"/>
      <c r="IJ168"/>
      <c r="IK168"/>
      <c r="IL168"/>
      <c r="IM168"/>
      <c r="IN168"/>
      <c r="IO168"/>
      <c r="IP168"/>
      <c r="IQ168"/>
      <c r="IR168"/>
      <c r="IS168"/>
      <c r="IT168"/>
      <c r="IU168"/>
      <c r="IV168"/>
      <c r="IW168"/>
      <c r="IX168"/>
      <c r="IY168"/>
      <c r="IZ168"/>
      <c r="JA168"/>
      <c r="JB168"/>
      <c r="JC168"/>
      <c r="JD168"/>
      <c r="JE168"/>
      <c r="JF168"/>
      <c r="JG168"/>
      <c r="JH168"/>
      <c r="JI168"/>
      <c r="JJ168"/>
      <c r="JK168"/>
      <c r="JL168"/>
      <c r="JM168"/>
      <c r="JN168"/>
      <c r="JO168"/>
      <c r="JP168"/>
      <c r="JQ168"/>
      <c r="JR168"/>
      <c r="JS168"/>
      <c r="JT168"/>
      <c r="JU168"/>
      <c r="JV168"/>
      <c r="JW168"/>
      <c r="JX168"/>
      <c r="JY168"/>
      <c r="JZ168"/>
      <c r="KA168"/>
      <c r="KB168"/>
      <c r="KC168"/>
      <c r="KD168"/>
      <c r="KE168"/>
      <c r="KF168"/>
      <c r="KG168"/>
      <c r="KH168"/>
      <c r="KI168"/>
      <c r="KJ168"/>
      <c r="KK168"/>
      <c r="KL168"/>
      <c r="KM168"/>
      <c r="KN168"/>
      <c r="KO168"/>
      <c r="KP168"/>
      <c r="KQ168"/>
      <c r="KR168"/>
      <c r="KS168"/>
    </row>
    <row r="169" spans="2:305" hidden="1" x14ac:dyDescent="0.25">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c r="FX169"/>
      <c r="FY169"/>
      <c r="FZ169"/>
      <c r="GA169"/>
      <c r="GB169"/>
      <c r="GC169"/>
      <c r="GD169"/>
      <c r="GE169"/>
      <c r="GF169"/>
      <c r="GG169"/>
      <c r="GH169"/>
      <c r="GI169"/>
      <c r="GJ169"/>
      <c r="GK169"/>
      <c r="GL169"/>
      <c r="GM169"/>
      <c r="GN169"/>
      <c r="GO169"/>
      <c r="GP169"/>
      <c r="GQ169"/>
      <c r="GR169"/>
      <c r="GS169"/>
      <c r="GT169"/>
      <c r="GU169"/>
      <c r="GV169"/>
      <c r="GW169"/>
      <c r="GX169"/>
      <c r="GY169"/>
      <c r="GZ169"/>
      <c r="HA169"/>
      <c r="HB169"/>
      <c r="HC169"/>
      <c r="HD169"/>
      <c r="HE169"/>
      <c r="HF169"/>
      <c r="HG169"/>
      <c r="HH169"/>
      <c r="HI169"/>
      <c r="HJ169"/>
      <c r="HK169"/>
      <c r="HL169"/>
      <c r="HM169"/>
      <c r="HN169"/>
      <c r="HO169"/>
      <c r="HP169"/>
      <c r="HQ169"/>
      <c r="HR169"/>
      <c r="HS169"/>
      <c r="HT169"/>
      <c r="HU169"/>
      <c r="HV169"/>
      <c r="HW169"/>
      <c r="HX169"/>
      <c r="HY169"/>
      <c r="HZ169"/>
      <c r="IA169"/>
      <c r="IB169"/>
      <c r="IC169"/>
      <c r="ID169"/>
      <c r="IE169"/>
      <c r="IF169"/>
      <c r="IG169"/>
      <c r="IH169"/>
      <c r="II169"/>
      <c r="IJ169"/>
      <c r="IK169"/>
      <c r="IL169"/>
      <c r="IM169"/>
      <c r="IN169"/>
      <c r="IO169"/>
      <c r="IP169"/>
      <c r="IQ169"/>
      <c r="IR169"/>
      <c r="IS169"/>
      <c r="IT169"/>
      <c r="IU169"/>
      <c r="IV169"/>
      <c r="IW169"/>
      <c r="IX169"/>
      <c r="IY169"/>
      <c r="IZ169"/>
      <c r="JA169"/>
      <c r="JB169"/>
      <c r="JC169"/>
      <c r="JD169"/>
      <c r="JE169"/>
      <c r="JF169"/>
      <c r="JG169"/>
      <c r="JH169"/>
      <c r="JI169"/>
      <c r="JJ169"/>
      <c r="JK169"/>
      <c r="JL169"/>
      <c r="JM169"/>
      <c r="JN169"/>
      <c r="JO169"/>
      <c r="JP169"/>
      <c r="JQ169"/>
      <c r="JR169"/>
      <c r="JS169"/>
      <c r="JT169"/>
      <c r="JU169"/>
      <c r="JV169"/>
      <c r="JW169"/>
      <c r="JX169"/>
      <c r="JY169"/>
      <c r="JZ169"/>
      <c r="KA169"/>
      <c r="KB169"/>
      <c r="KC169"/>
      <c r="KD169"/>
      <c r="KE169"/>
      <c r="KF169"/>
      <c r="KG169"/>
      <c r="KH169"/>
      <c r="KI169"/>
      <c r="KJ169"/>
      <c r="KK169"/>
      <c r="KL169"/>
      <c r="KM169"/>
      <c r="KN169"/>
      <c r="KO169"/>
      <c r="KP169"/>
      <c r="KQ169"/>
      <c r="KR169"/>
      <c r="KS169"/>
    </row>
    <row r="170" spans="2:305" hidden="1" x14ac:dyDescent="0.25">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c r="FX170"/>
      <c r="FY170"/>
      <c r="FZ170"/>
      <c r="GA170"/>
      <c r="GB170"/>
      <c r="GC170"/>
      <c r="GD170"/>
      <c r="GE170"/>
      <c r="GF170"/>
      <c r="GG170"/>
      <c r="GH170"/>
      <c r="GI170"/>
      <c r="GJ170"/>
      <c r="GK170"/>
      <c r="GL170"/>
      <c r="GM170"/>
      <c r="GN170"/>
      <c r="GO170"/>
      <c r="GP170"/>
      <c r="GQ170"/>
      <c r="GR170"/>
      <c r="GS170"/>
      <c r="GT170"/>
      <c r="GU170"/>
      <c r="GV170"/>
      <c r="GW170"/>
      <c r="GX170"/>
      <c r="GY170"/>
      <c r="GZ170"/>
      <c r="HA170"/>
      <c r="HB170"/>
      <c r="HC170"/>
      <c r="HD170"/>
      <c r="HE170"/>
      <c r="HF170"/>
      <c r="HG170"/>
      <c r="HH170"/>
      <c r="HI170"/>
      <c r="HJ170"/>
      <c r="HK170"/>
      <c r="HL170"/>
      <c r="HM170"/>
      <c r="HN170"/>
      <c r="HO170"/>
      <c r="HP170"/>
      <c r="HQ170"/>
      <c r="HR170"/>
      <c r="HS170"/>
      <c r="HT170"/>
      <c r="HU170"/>
      <c r="HV170"/>
      <c r="HW170"/>
      <c r="HX170"/>
      <c r="HY170"/>
      <c r="HZ170"/>
      <c r="IA170"/>
      <c r="IB170"/>
      <c r="IC170"/>
      <c r="ID170"/>
      <c r="IE170"/>
      <c r="IF170"/>
      <c r="IG170"/>
      <c r="IH170"/>
      <c r="II170"/>
      <c r="IJ170"/>
      <c r="IK170"/>
      <c r="IL170"/>
      <c r="IM170"/>
      <c r="IN170"/>
      <c r="IO170"/>
      <c r="IP170"/>
      <c r="IQ170"/>
      <c r="IR170"/>
      <c r="IS170"/>
      <c r="IT170"/>
      <c r="IU170"/>
      <c r="IV170"/>
      <c r="IW170"/>
      <c r="IX170"/>
      <c r="IY170"/>
      <c r="IZ170"/>
      <c r="JA170"/>
      <c r="JB170"/>
      <c r="JC170"/>
      <c r="JD170"/>
      <c r="JE170"/>
      <c r="JF170"/>
      <c r="JG170"/>
      <c r="JH170"/>
      <c r="JI170"/>
      <c r="JJ170"/>
      <c r="JK170"/>
      <c r="JL170"/>
      <c r="JM170"/>
      <c r="JN170"/>
      <c r="JO170"/>
      <c r="JP170"/>
      <c r="JQ170"/>
      <c r="JR170"/>
      <c r="JS170"/>
      <c r="JT170"/>
      <c r="JU170"/>
      <c r="JV170"/>
      <c r="JW170"/>
      <c r="JX170"/>
      <c r="JY170"/>
      <c r="JZ170"/>
      <c r="KA170"/>
      <c r="KB170"/>
      <c r="KC170"/>
      <c r="KD170"/>
      <c r="KE170"/>
      <c r="KF170"/>
      <c r="KG170"/>
      <c r="KH170"/>
      <c r="KI170"/>
      <c r="KJ170"/>
      <c r="KK170"/>
      <c r="KL170"/>
      <c r="KM170"/>
      <c r="KN170"/>
      <c r="KO170"/>
      <c r="KP170"/>
      <c r="KQ170"/>
      <c r="KR170"/>
      <c r="KS170"/>
    </row>
    <row r="171" spans="2:305" hidden="1" x14ac:dyDescent="0.25">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c r="FQ171"/>
      <c r="FR171"/>
      <c r="FS171"/>
      <c r="FT171"/>
      <c r="FU171"/>
      <c r="FV171"/>
      <c r="FW171"/>
      <c r="FX171"/>
      <c r="FY171"/>
      <c r="FZ171"/>
      <c r="GA171"/>
      <c r="GB171"/>
      <c r="GC171"/>
      <c r="GD171"/>
      <c r="GE171"/>
      <c r="GF171"/>
      <c r="GG171"/>
      <c r="GH171"/>
      <c r="GI171"/>
      <c r="GJ171"/>
      <c r="GK171"/>
      <c r="GL171"/>
      <c r="GM171"/>
      <c r="GN171"/>
      <c r="GO171"/>
      <c r="GP171"/>
      <c r="GQ171"/>
      <c r="GR171"/>
      <c r="GS171"/>
      <c r="GT171"/>
      <c r="GU171"/>
      <c r="GV171"/>
      <c r="GW171"/>
      <c r="GX171"/>
      <c r="GY171"/>
      <c r="GZ171"/>
      <c r="HA171"/>
      <c r="HB171"/>
      <c r="HC171"/>
      <c r="HD171"/>
      <c r="HE171"/>
      <c r="HF171"/>
      <c r="HG171"/>
      <c r="HH171"/>
      <c r="HI171"/>
      <c r="HJ171"/>
      <c r="HK171"/>
      <c r="HL171"/>
      <c r="HM171"/>
      <c r="HN171"/>
      <c r="HO171"/>
      <c r="HP171"/>
      <c r="HQ171"/>
      <c r="HR171"/>
      <c r="HS171"/>
      <c r="HT171"/>
      <c r="HU171"/>
      <c r="HV171"/>
      <c r="HW171"/>
      <c r="HX171"/>
      <c r="HY171"/>
      <c r="HZ171"/>
      <c r="IA171"/>
      <c r="IB171"/>
      <c r="IC171"/>
      <c r="ID171"/>
      <c r="IE171"/>
      <c r="IF171"/>
      <c r="IG171"/>
      <c r="IH171"/>
      <c r="II171"/>
      <c r="IJ171"/>
      <c r="IK171"/>
      <c r="IL171"/>
      <c r="IM171"/>
      <c r="IN171"/>
      <c r="IO171"/>
      <c r="IP171"/>
      <c r="IQ171"/>
      <c r="IR171"/>
      <c r="IS171"/>
      <c r="IT171"/>
      <c r="IU171"/>
      <c r="IV171"/>
      <c r="IW171"/>
      <c r="IX171"/>
      <c r="IY171"/>
      <c r="IZ171"/>
      <c r="JA171"/>
      <c r="JB171"/>
      <c r="JC171"/>
      <c r="JD171"/>
      <c r="JE171"/>
      <c r="JF171"/>
      <c r="JG171"/>
      <c r="JH171"/>
      <c r="JI171"/>
      <c r="JJ171"/>
      <c r="JK171"/>
      <c r="JL171"/>
      <c r="JM171"/>
      <c r="JN171"/>
      <c r="JO171"/>
      <c r="JP171"/>
      <c r="JQ171"/>
      <c r="JR171"/>
      <c r="JS171"/>
      <c r="JT171"/>
      <c r="JU171"/>
      <c r="JV171"/>
      <c r="JW171"/>
      <c r="JX171"/>
      <c r="JY171"/>
      <c r="JZ171"/>
      <c r="KA171"/>
      <c r="KB171"/>
      <c r="KC171"/>
      <c r="KD171"/>
      <c r="KE171"/>
      <c r="KF171"/>
      <c r="KG171"/>
      <c r="KH171"/>
      <c r="KI171"/>
      <c r="KJ171"/>
      <c r="KK171"/>
      <c r="KL171"/>
      <c r="KM171"/>
      <c r="KN171"/>
      <c r="KO171"/>
      <c r="KP171"/>
      <c r="KQ171"/>
      <c r="KR171"/>
      <c r="KS171"/>
    </row>
    <row r="172" spans="2:305" hidden="1" x14ac:dyDescent="0.25">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c r="FX172"/>
      <c r="FY172"/>
      <c r="FZ172"/>
      <c r="GA172"/>
      <c r="GB172"/>
      <c r="GC172"/>
      <c r="GD172"/>
      <c r="GE172"/>
      <c r="GF172"/>
      <c r="GG172"/>
      <c r="GH172"/>
      <c r="GI172"/>
      <c r="GJ172"/>
      <c r="GK172"/>
      <c r="GL172"/>
      <c r="GM172"/>
      <c r="GN172"/>
      <c r="GO172"/>
      <c r="GP172"/>
      <c r="GQ172"/>
      <c r="GR172"/>
      <c r="GS172"/>
      <c r="GT172"/>
      <c r="GU172"/>
      <c r="GV172"/>
      <c r="GW172"/>
      <c r="GX172"/>
      <c r="GY172"/>
      <c r="GZ172"/>
      <c r="HA172"/>
      <c r="HB172"/>
      <c r="HC172"/>
      <c r="HD172"/>
      <c r="HE172"/>
      <c r="HF172"/>
      <c r="HG172"/>
      <c r="HH172"/>
      <c r="HI172"/>
      <c r="HJ172"/>
      <c r="HK172"/>
      <c r="HL172"/>
      <c r="HM172"/>
      <c r="HN172"/>
      <c r="HO172"/>
      <c r="HP172"/>
      <c r="HQ172"/>
      <c r="HR172"/>
      <c r="HS172"/>
      <c r="HT172"/>
      <c r="HU172"/>
      <c r="HV172"/>
      <c r="HW172"/>
      <c r="HX172"/>
      <c r="HY172"/>
      <c r="HZ172"/>
      <c r="IA172"/>
      <c r="IB172"/>
      <c r="IC172"/>
      <c r="ID172"/>
      <c r="IE172"/>
      <c r="IF172"/>
      <c r="IG172"/>
      <c r="IH172"/>
      <c r="II172"/>
      <c r="IJ172"/>
      <c r="IK172"/>
      <c r="IL172"/>
      <c r="IM172"/>
      <c r="IN172"/>
      <c r="IO172"/>
      <c r="IP172"/>
      <c r="IQ172"/>
      <c r="IR172"/>
      <c r="IS172"/>
      <c r="IT172"/>
      <c r="IU172"/>
      <c r="IV172"/>
      <c r="IW172"/>
      <c r="IX172"/>
      <c r="IY172"/>
      <c r="IZ172"/>
      <c r="JA172"/>
      <c r="JB172"/>
      <c r="JC172"/>
      <c r="JD172"/>
      <c r="JE172"/>
      <c r="JF172"/>
      <c r="JG172"/>
      <c r="JH172"/>
      <c r="JI172"/>
      <c r="JJ172"/>
      <c r="JK172"/>
      <c r="JL172"/>
      <c r="JM172"/>
      <c r="JN172"/>
      <c r="JO172"/>
      <c r="JP172"/>
      <c r="JQ172"/>
      <c r="JR172"/>
      <c r="JS172"/>
      <c r="JT172"/>
      <c r="JU172"/>
      <c r="JV172"/>
      <c r="JW172"/>
      <c r="JX172"/>
      <c r="JY172"/>
      <c r="JZ172"/>
      <c r="KA172"/>
      <c r="KB172"/>
      <c r="KC172"/>
      <c r="KD172"/>
      <c r="KE172"/>
      <c r="KF172"/>
      <c r="KG172"/>
      <c r="KH172"/>
      <c r="KI172"/>
      <c r="KJ172"/>
      <c r="KK172"/>
      <c r="KL172"/>
      <c r="KM172"/>
      <c r="KN172"/>
      <c r="KO172"/>
      <c r="KP172"/>
      <c r="KQ172"/>
      <c r="KR172"/>
      <c r="KS172"/>
    </row>
    <row r="173" spans="2:305" hidden="1" x14ac:dyDescent="0.25">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c r="FX173"/>
      <c r="FY173"/>
      <c r="FZ173"/>
      <c r="GA173"/>
      <c r="GB173"/>
      <c r="GC173"/>
      <c r="GD173"/>
      <c r="GE173"/>
      <c r="GF173"/>
      <c r="GG173"/>
      <c r="GH173"/>
      <c r="GI173"/>
      <c r="GJ173"/>
      <c r="GK173"/>
      <c r="GL173"/>
      <c r="GM173"/>
      <c r="GN173"/>
      <c r="GO173"/>
      <c r="GP173"/>
      <c r="GQ173"/>
      <c r="GR173"/>
      <c r="GS173"/>
      <c r="GT173"/>
      <c r="GU173"/>
      <c r="GV173"/>
      <c r="GW173"/>
      <c r="GX173"/>
      <c r="GY173"/>
      <c r="GZ173"/>
      <c r="HA173"/>
      <c r="HB173"/>
      <c r="HC173"/>
      <c r="HD173"/>
      <c r="HE173"/>
      <c r="HF173"/>
      <c r="HG173"/>
      <c r="HH173"/>
      <c r="HI173"/>
      <c r="HJ173"/>
      <c r="HK173"/>
      <c r="HL173"/>
      <c r="HM173"/>
      <c r="HN173"/>
      <c r="HO173"/>
      <c r="HP173"/>
      <c r="HQ173"/>
      <c r="HR173"/>
      <c r="HS173"/>
      <c r="HT173"/>
      <c r="HU173"/>
      <c r="HV173"/>
      <c r="HW173"/>
      <c r="HX173"/>
      <c r="HY173"/>
      <c r="HZ173"/>
      <c r="IA173"/>
      <c r="IB173"/>
      <c r="IC173"/>
      <c r="ID173"/>
      <c r="IE173"/>
      <c r="IF173"/>
      <c r="IG173"/>
      <c r="IH173"/>
      <c r="II173"/>
      <c r="IJ173"/>
      <c r="IK173"/>
      <c r="IL173"/>
      <c r="IM173"/>
      <c r="IN173"/>
      <c r="IO173"/>
      <c r="IP173"/>
      <c r="IQ173"/>
      <c r="IR173"/>
      <c r="IS173"/>
      <c r="IT173"/>
      <c r="IU173"/>
      <c r="IV173"/>
      <c r="IW173"/>
      <c r="IX173"/>
      <c r="IY173"/>
      <c r="IZ173"/>
      <c r="JA173"/>
      <c r="JB173"/>
      <c r="JC173"/>
      <c r="JD173"/>
      <c r="JE173"/>
      <c r="JF173"/>
      <c r="JG173"/>
      <c r="JH173"/>
      <c r="JI173"/>
      <c r="JJ173"/>
      <c r="JK173"/>
      <c r="JL173"/>
      <c r="JM173"/>
      <c r="JN173"/>
      <c r="JO173"/>
      <c r="JP173"/>
      <c r="JQ173"/>
      <c r="JR173"/>
      <c r="JS173"/>
      <c r="JT173"/>
      <c r="JU173"/>
      <c r="JV173"/>
      <c r="JW173"/>
      <c r="JX173"/>
      <c r="JY173"/>
      <c r="JZ173"/>
      <c r="KA173"/>
      <c r="KB173"/>
      <c r="KC173"/>
      <c r="KD173"/>
      <c r="KE173"/>
      <c r="KF173"/>
      <c r="KG173"/>
      <c r="KH173"/>
      <c r="KI173"/>
      <c r="KJ173"/>
      <c r="KK173"/>
      <c r="KL173"/>
      <c r="KM173"/>
      <c r="KN173"/>
      <c r="KO173"/>
      <c r="KP173"/>
      <c r="KQ173"/>
      <c r="KR173"/>
      <c r="KS173"/>
    </row>
    <row r="174" spans="2:305" hidden="1" x14ac:dyDescent="0.25">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c r="FX174"/>
      <c r="FY174"/>
      <c r="FZ174"/>
      <c r="GA174"/>
      <c r="GB174"/>
      <c r="GC174"/>
      <c r="GD174"/>
      <c r="GE174"/>
      <c r="GF174"/>
      <c r="GG174"/>
      <c r="GH174"/>
      <c r="GI174"/>
      <c r="GJ174"/>
      <c r="GK174"/>
      <c r="GL174"/>
      <c r="GM174"/>
      <c r="GN174"/>
      <c r="GO174"/>
      <c r="GP174"/>
      <c r="GQ174"/>
      <c r="GR174"/>
      <c r="GS174"/>
      <c r="GT174"/>
      <c r="GU174"/>
      <c r="GV174"/>
      <c r="GW174"/>
      <c r="GX174"/>
      <c r="GY174"/>
      <c r="GZ174"/>
      <c r="HA174"/>
      <c r="HB174"/>
      <c r="HC174"/>
      <c r="HD174"/>
      <c r="HE174"/>
      <c r="HF174"/>
      <c r="HG174"/>
      <c r="HH174"/>
      <c r="HI174"/>
      <c r="HJ174"/>
      <c r="HK174"/>
      <c r="HL174"/>
      <c r="HM174"/>
      <c r="HN174"/>
      <c r="HO174"/>
      <c r="HP174"/>
      <c r="HQ174"/>
      <c r="HR174"/>
      <c r="HS174"/>
      <c r="HT174"/>
      <c r="HU174"/>
      <c r="HV174"/>
      <c r="HW174"/>
      <c r="HX174"/>
      <c r="HY174"/>
      <c r="HZ174"/>
      <c r="IA174"/>
      <c r="IB174"/>
      <c r="IC174"/>
      <c r="ID174"/>
      <c r="IE174"/>
      <c r="IF174"/>
      <c r="IG174"/>
      <c r="IH174"/>
      <c r="II174"/>
      <c r="IJ174"/>
      <c r="IK174"/>
      <c r="IL174"/>
      <c r="IM174"/>
      <c r="IN174"/>
      <c r="IO174"/>
      <c r="IP174"/>
      <c r="IQ174"/>
      <c r="IR174"/>
      <c r="IS174"/>
      <c r="IT174"/>
      <c r="IU174"/>
      <c r="IV174"/>
      <c r="IW174"/>
      <c r="IX174"/>
      <c r="IY174"/>
      <c r="IZ174"/>
      <c r="JA174"/>
      <c r="JB174"/>
      <c r="JC174"/>
      <c r="JD174"/>
      <c r="JE174"/>
      <c r="JF174"/>
      <c r="JG174"/>
      <c r="JH174"/>
      <c r="JI174"/>
      <c r="JJ174"/>
      <c r="JK174"/>
      <c r="JL174"/>
      <c r="JM174"/>
      <c r="JN174"/>
      <c r="JO174"/>
      <c r="JP174"/>
      <c r="JQ174"/>
      <c r="JR174"/>
      <c r="JS174"/>
      <c r="JT174"/>
      <c r="JU174"/>
      <c r="JV174"/>
      <c r="JW174"/>
      <c r="JX174"/>
      <c r="JY174"/>
      <c r="JZ174"/>
      <c r="KA174"/>
      <c r="KB174"/>
      <c r="KC174"/>
      <c r="KD174"/>
      <c r="KE174"/>
      <c r="KF174"/>
      <c r="KG174"/>
      <c r="KH174"/>
      <c r="KI174"/>
      <c r="KJ174"/>
      <c r="KK174"/>
      <c r="KL174"/>
      <c r="KM174"/>
      <c r="KN174"/>
      <c r="KO174"/>
      <c r="KP174"/>
      <c r="KQ174"/>
      <c r="KR174"/>
      <c r="KS174"/>
    </row>
    <row r="175" spans="2:305" hidden="1" x14ac:dyDescent="0.2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c r="FX175"/>
      <c r="FY175"/>
      <c r="FZ175"/>
      <c r="GA175"/>
      <c r="GB175"/>
      <c r="GC175"/>
      <c r="GD175"/>
      <c r="GE175"/>
      <c r="GF175"/>
      <c r="GG175"/>
      <c r="GH175"/>
      <c r="GI175"/>
      <c r="GJ175"/>
      <c r="GK175"/>
      <c r="GL175"/>
      <c r="GM175"/>
      <c r="GN175"/>
      <c r="GO175"/>
      <c r="GP175"/>
      <c r="GQ175"/>
      <c r="GR175"/>
      <c r="GS175"/>
      <c r="GT175"/>
      <c r="GU175"/>
      <c r="GV175"/>
      <c r="GW175"/>
      <c r="GX175"/>
      <c r="GY175"/>
      <c r="GZ175"/>
      <c r="HA175"/>
      <c r="HB175"/>
      <c r="HC175"/>
      <c r="HD175"/>
      <c r="HE175"/>
      <c r="HF175"/>
      <c r="HG175"/>
      <c r="HH175"/>
      <c r="HI175"/>
      <c r="HJ175"/>
      <c r="HK175"/>
      <c r="HL175"/>
      <c r="HM175"/>
      <c r="HN175"/>
      <c r="HO175"/>
      <c r="HP175"/>
      <c r="HQ175"/>
      <c r="HR175"/>
      <c r="HS175"/>
      <c r="HT175"/>
      <c r="HU175"/>
      <c r="HV175"/>
      <c r="HW175"/>
      <c r="HX175"/>
      <c r="HY175"/>
      <c r="HZ175"/>
      <c r="IA175"/>
      <c r="IB175"/>
      <c r="IC175"/>
      <c r="ID175"/>
      <c r="IE175"/>
      <c r="IF175"/>
      <c r="IG175"/>
      <c r="IH175"/>
      <c r="II175"/>
      <c r="IJ175"/>
      <c r="IK175"/>
      <c r="IL175"/>
      <c r="IM175"/>
      <c r="IN175"/>
      <c r="IO175"/>
      <c r="IP175"/>
      <c r="IQ175"/>
      <c r="IR175"/>
      <c r="IS175"/>
      <c r="IT175"/>
      <c r="IU175"/>
      <c r="IV175"/>
      <c r="IW175"/>
      <c r="IX175"/>
      <c r="IY175"/>
      <c r="IZ175"/>
      <c r="JA175"/>
      <c r="JB175"/>
      <c r="JC175"/>
      <c r="JD175"/>
      <c r="JE175"/>
      <c r="JF175"/>
      <c r="JG175"/>
      <c r="JH175"/>
      <c r="JI175"/>
      <c r="JJ175"/>
      <c r="JK175"/>
      <c r="JL175"/>
      <c r="JM175"/>
      <c r="JN175"/>
      <c r="JO175"/>
      <c r="JP175"/>
      <c r="JQ175"/>
      <c r="JR175"/>
      <c r="JS175"/>
      <c r="JT175"/>
      <c r="JU175"/>
      <c r="JV175"/>
      <c r="JW175"/>
      <c r="JX175"/>
      <c r="JY175"/>
      <c r="JZ175"/>
      <c r="KA175"/>
      <c r="KB175"/>
      <c r="KC175"/>
      <c r="KD175"/>
      <c r="KE175"/>
      <c r="KF175"/>
      <c r="KG175"/>
      <c r="KH175"/>
      <c r="KI175"/>
      <c r="KJ175"/>
      <c r="KK175"/>
      <c r="KL175"/>
      <c r="KM175"/>
      <c r="KN175"/>
      <c r="KO175"/>
      <c r="KP175"/>
      <c r="KQ175"/>
      <c r="KR175"/>
      <c r="KS175"/>
    </row>
    <row r="176" spans="2:305" hidden="1" x14ac:dyDescent="0.25">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c r="FX176"/>
      <c r="FY176"/>
      <c r="FZ176"/>
      <c r="GA176"/>
      <c r="GB176"/>
      <c r="GC176"/>
      <c r="GD176"/>
      <c r="GE176"/>
      <c r="GF176"/>
      <c r="GG176"/>
      <c r="GH176"/>
      <c r="GI176"/>
      <c r="GJ176"/>
      <c r="GK176"/>
      <c r="GL176"/>
      <c r="GM176"/>
      <c r="GN176"/>
      <c r="GO176"/>
      <c r="GP176"/>
      <c r="GQ176"/>
      <c r="GR176"/>
      <c r="GS176"/>
      <c r="GT176"/>
      <c r="GU176"/>
      <c r="GV176"/>
      <c r="GW176"/>
      <c r="GX176"/>
      <c r="GY176"/>
      <c r="GZ176"/>
      <c r="HA176"/>
      <c r="HB176"/>
      <c r="HC176"/>
      <c r="HD176"/>
      <c r="HE176"/>
      <c r="HF176"/>
      <c r="HG176"/>
      <c r="HH176"/>
      <c r="HI176"/>
      <c r="HJ176"/>
      <c r="HK176"/>
      <c r="HL176"/>
      <c r="HM176"/>
      <c r="HN176"/>
      <c r="HO176"/>
      <c r="HP176"/>
      <c r="HQ176"/>
      <c r="HR176"/>
      <c r="HS176"/>
      <c r="HT176"/>
      <c r="HU176"/>
      <c r="HV176"/>
      <c r="HW176"/>
      <c r="HX176"/>
      <c r="HY176"/>
      <c r="HZ176"/>
      <c r="IA176"/>
      <c r="IB176"/>
      <c r="IC176"/>
      <c r="ID176"/>
      <c r="IE176"/>
      <c r="IF176"/>
      <c r="IG176"/>
      <c r="IH176"/>
      <c r="II176"/>
      <c r="IJ176"/>
      <c r="IK176"/>
      <c r="IL176"/>
      <c r="IM176"/>
      <c r="IN176"/>
      <c r="IO176"/>
      <c r="IP176"/>
      <c r="IQ176"/>
      <c r="IR176"/>
      <c r="IS176"/>
      <c r="IT176"/>
      <c r="IU176"/>
      <c r="IV176"/>
      <c r="IW176"/>
      <c r="IX176"/>
      <c r="IY176"/>
      <c r="IZ176"/>
      <c r="JA176"/>
      <c r="JB176"/>
      <c r="JC176"/>
      <c r="JD176"/>
      <c r="JE176"/>
      <c r="JF176"/>
      <c r="JG176"/>
      <c r="JH176"/>
      <c r="JI176"/>
      <c r="JJ176"/>
      <c r="JK176"/>
      <c r="JL176"/>
      <c r="JM176"/>
      <c r="JN176"/>
      <c r="JO176"/>
      <c r="JP176"/>
      <c r="JQ176"/>
      <c r="JR176"/>
      <c r="JS176"/>
      <c r="JT176"/>
      <c r="JU176"/>
      <c r="JV176"/>
      <c r="JW176"/>
      <c r="JX176"/>
      <c r="JY176"/>
      <c r="JZ176"/>
      <c r="KA176"/>
      <c r="KB176"/>
      <c r="KC176"/>
      <c r="KD176"/>
      <c r="KE176"/>
      <c r="KF176"/>
      <c r="KG176"/>
      <c r="KH176"/>
      <c r="KI176"/>
      <c r="KJ176"/>
      <c r="KK176"/>
      <c r="KL176"/>
      <c r="KM176"/>
      <c r="KN176"/>
      <c r="KO176"/>
      <c r="KP176"/>
      <c r="KQ176"/>
      <c r="KR176"/>
      <c r="KS176"/>
    </row>
    <row r="177" spans="2:305" hidden="1" x14ac:dyDescent="0.25">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c r="FX177"/>
      <c r="FY177"/>
      <c r="FZ177"/>
      <c r="GA177"/>
      <c r="GB177"/>
      <c r="GC177"/>
      <c r="GD177"/>
      <c r="GE177"/>
      <c r="GF177"/>
      <c r="GG177"/>
      <c r="GH177"/>
      <c r="GI177"/>
      <c r="GJ177"/>
      <c r="GK177"/>
      <c r="GL177"/>
      <c r="GM177"/>
      <c r="GN177"/>
      <c r="GO177"/>
      <c r="GP177"/>
      <c r="GQ177"/>
      <c r="GR177"/>
      <c r="GS177"/>
      <c r="GT177"/>
      <c r="GU177"/>
      <c r="GV177"/>
      <c r="GW177"/>
      <c r="GX177"/>
      <c r="GY177"/>
      <c r="GZ177"/>
      <c r="HA177"/>
      <c r="HB177"/>
      <c r="HC177"/>
      <c r="HD177"/>
      <c r="HE177"/>
      <c r="HF177"/>
      <c r="HG177"/>
      <c r="HH177"/>
      <c r="HI177"/>
      <c r="HJ177"/>
      <c r="HK177"/>
      <c r="HL177"/>
      <c r="HM177"/>
      <c r="HN177"/>
      <c r="HO177"/>
      <c r="HP177"/>
      <c r="HQ177"/>
      <c r="HR177"/>
      <c r="HS177"/>
      <c r="HT177"/>
      <c r="HU177"/>
      <c r="HV177"/>
      <c r="HW177"/>
      <c r="HX177"/>
      <c r="HY177"/>
      <c r="HZ177"/>
      <c r="IA177"/>
      <c r="IB177"/>
      <c r="IC177"/>
      <c r="ID177"/>
      <c r="IE177"/>
      <c r="IF177"/>
      <c r="IG177"/>
      <c r="IH177"/>
      <c r="II177"/>
      <c r="IJ177"/>
      <c r="IK177"/>
      <c r="IL177"/>
      <c r="IM177"/>
      <c r="IN177"/>
      <c r="IO177"/>
      <c r="IP177"/>
      <c r="IQ177"/>
      <c r="IR177"/>
      <c r="IS177"/>
      <c r="IT177"/>
      <c r="IU177"/>
      <c r="IV177"/>
      <c r="IW177"/>
      <c r="IX177"/>
      <c r="IY177"/>
      <c r="IZ177"/>
      <c r="JA177"/>
      <c r="JB177"/>
      <c r="JC177"/>
      <c r="JD177"/>
      <c r="JE177"/>
      <c r="JF177"/>
      <c r="JG177"/>
      <c r="JH177"/>
      <c r="JI177"/>
      <c r="JJ177"/>
      <c r="JK177"/>
      <c r="JL177"/>
      <c r="JM177"/>
      <c r="JN177"/>
      <c r="JO177"/>
      <c r="JP177"/>
      <c r="JQ177"/>
      <c r="JR177"/>
      <c r="JS177"/>
      <c r="JT177"/>
      <c r="JU177"/>
      <c r="JV177"/>
      <c r="JW177"/>
      <c r="JX177"/>
      <c r="JY177"/>
      <c r="JZ177"/>
      <c r="KA177"/>
      <c r="KB177"/>
      <c r="KC177"/>
      <c r="KD177"/>
      <c r="KE177"/>
      <c r="KF177"/>
      <c r="KG177"/>
      <c r="KH177"/>
      <c r="KI177"/>
      <c r="KJ177"/>
      <c r="KK177"/>
      <c r="KL177"/>
      <c r="KM177"/>
      <c r="KN177"/>
      <c r="KO177"/>
      <c r="KP177"/>
      <c r="KQ177"/>
      <c r="KR177"/>
      <c r="KS177"/>
    </row>
    <row r="178" spans="2:305" hidden="1" x14ac:dyDescent="0.25">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c r="FX178"/>
      <c r="FY178"/>
      <c r="FZ178"/>
      <c r="GA178"/>
      <c r="GB178"/>
      <c r="GC178"/>
      <c r="GD178"/>
      <c r="GE178"/>
      <c r="GF178"/>
      <c r="GG178"/>
      <c r="GH178"/>
      <c r="GI178"/>
      <c r="GJ178"/>
      <c r="GK178"/>
      <c r="GL178"/>
      <c r="GM178"/>
      <c r="GN178"/>
      <c r="GO178"/>
      <c r="GP178"/>
      <c r="GQ178"/>
      <c r="GR178"/>
      <c r="GS178"/>
      <c r="GT178"/>
      <c r="GU178"/>
      <c r="GV178"/>
      <c r="GW178"/>
      <c r="GX178"/>
      <c r="GY178"/>
      <c r="GZ178"/>
      <c r="HA178"/>
      <c r="HB178"/>
      <c r="HC178"/>
      <c r="HD178"/>
      <c r="HE178"/>
      <c r="HF178"/>
      <c r="HG178"/>
      <c r="HH178"/>
      <c r="HI178"/>
      <c r="HJ178"/>
      <c r="HK178"/>
      <c r="HL178"/>
      <c r="HM178"/>
      <c r="HN178"/>
      <c r="HO178"/>
      <c r="HP178"/>
      <c r="HQ178"/>
      <c r="HR178"/>
      <c r="HS178"/>
      <c r="HT178"/>
      <c r="HU178"/>
      <c r="HV178"/>
      <c r="HW178"/>
      <c r="HX178"/>
      <c r="HY178"/>
      <c r="HZ178"/>
      <c r="IA178"/>
      <c r="IB178"/>
      <c r="IC178"/>
      <c r="ID178"/>
      <c r="IE178"/>
      <c r="IF178"/>
      <c r="IG178"/>
      <c r="IH178"/>
      <c r="II178"/>
      <c r="IJ178"/>
      <c r="IK178"/>
      <c r="IL178"/>
      <c r="IM178"/>
      <c r="IN178"/>
      <c r="IO178"/>
      <c r="IP178"/>
      <c r="IQ178"/>
      <c r="IR178"/>
      <c r="IS178"/>
      <c r="IT178"/>
      <c r="IU178"/>
      <c r="IV178"/>
      <c r="IW178"/>
      <c r="IX178"/>
      <c r="IY178"/>
      <c r="IZ178"/>
      <c r="JA178"/>
      <c r="JB178"/>
      <c r="JC178"/>
      <c r="JD178"/>
      <c r="JE178"/>
      <c r="JF178"/>
      <c r="JG178"/>
      <c r="JH178"/>
      <c r="JI178"/>
      <c r="JJ178"/>
      <c r="JK178"/>
      <c r="JL178"/>
      <c r="JM178"/>
      <c r="JN178"/>
      <c r="JO178"/>
      <c r="JP178"/>
      <c r="JQ178"/>
      <c r="JR178"/>
      <c r="JS178"/>
      <c r="JT178"/>
      <c r="JU178"/>
      <c r="JV178"/>
      <c r="JW178"/>
      <c r="JX178"/>
      <c r="JY178"/>
      <c r="JZ178"/>
      <c r="KA178"/>
      <c r="KB178"/>
      <c r="KC178"/>
      <c r="KD178"/>
      <c r="KE178"/>
      <c r="KF178"/>
      <c r="KG178"/>
      <c r="KH178"/>
      <c r="KI178"/>
      <c r="KJ178"/>
      <c r="KK178"/>
      <c r="KL178"/>
      <c r="KM178"/>
      <c r="KN178"/>
      <c r="KO178"/>
      <c r="KP178"/>
      <c r="KQ178"/>
      <c r="KR178"/>
      <c r="KS178"/>
    </row>
    <row r="179" spans="2:305" hidden="1" x14ac:dyDescent="0.25">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c r="FX179"/>
      <c r="FY179"/>
      <c r="FZ179"/>
      <c r="GA179"/>
      <c r="GB179"/>
      <c r="GC179"/>
      <c r="GD179"/>
      <c r="GE179"/>
      <c r="GF179"/>
      <c r="GG179"/>
      <c r="GH179"/>
      <c r="GI179"/>
      <c r="GJ179"/>
      <c r="GK179"/>
      <c r="GL179"/>
      <c r="GM179"/>
      <c r="GN179"/>
      <c r="GO179"/>
      <c r="GP179"/>
      <c r="GQ179"/>
      <c r="GR179"/>
      <c r="GS179"/>
      <c r="GT179"/>
      <c r="GU179"/>
      <c r="GV179"/>
      <c r="GW179"/>
      <c r="GX179"/>
      <c r="GY179"/>
      <c r="GZ179"/>
      <c r="HA179"/>
      <c r="HB179"/>
      <c r="HC179"/>
      <c r="HD179"/>
      <c r="HE179"/>
      <c r="HF179"/>
      <c r="HG179"/>
      <c r="HH179"/>
      <c r="HI179"/>
      <c r="HJ179"/>
      <c r="HK179"/>
      <c r="HL179"/>
      <c r="HM179"/>
      <c r="HN179"/>
      <c r="HO179"/>
      <c r="HP179"/>
      <c r="HQ179"/>
      <c r="HR179"/>
      <c r="HS179"/>
      <c r="HT179"/>
      <c r="HU179"/>
      <c r="HV179"/>
      <c r="HW179"/>
      <c r="HX179"/>
      <c r="HY179"/>
      <c r="HZ179"/>
      <c r="IA179"/>
      <c r="IB179"/>
      <c r="IC179"/>
      <c r="ID179"/>
      <c r="IE179"/>
      <c r="IF179"/>
      <c r="IG179"/>
      <c r="IH179"/>
      <c r="II179"/>
      <c r="IJ179"/>
      <c r="IK179"/>
      <c r="IL179"/>
      <c r="IM179"/>
      <c r="IN179"/>
      <c r="IO179"/>
      <c r="IP179"/>
      <c r="IQ179"/>
      <c r="IR179"/>
      <c r="IS179"/>
      <c r="IT179"/>
      <c r="IU179"/>
      <c r="IV179"/>
      <c r="IW179"/>
      <c r="IX179"/>
      <c r="IY179"/>
      <c r="IZ179"/>
      <c r="JA179"/>
      <c r="JB179"/>
      <c r="JC179"/>
      <c r="JD179"/>
      <c r="JE179"/>
      <c r="JF179"/>
      <c r="JG179"/>
      <c r="JH179"/>
      <c r="JI179"/>
      <c r="JJ179"/>
      <c r="JK179"/>
      <c r="JL179"/>
      <c r="JM179"/>
      <c r="JN179"/>
      <c r="JO179"/>
      <c r="JP179"/>
      <c r="JQ179"/>
      <c r="JR179"/>
      <c r="JS179"/>
      <c r="JT179"/>
      <c r="JU179"/>
      <c r="JV179"/>
      <c r="JW179"/>
      <c r="JX179"/>
      <c r="JY179"/>
      <c r="JZ179"/>
      <c r="KA179"/>
      <c r="KB179"/>
      <c r="KC179"/>
      <c r="KD179"/>
      <c r="KE179"/>
      <c r="KF179"/>
      <c r="KG179"/>
      <c r="KH179"/>
      <c r="KI179"/>
      <c r="KJ179"/>
      <c r="KK179"/>
      <c r="KL179"/>
      <c r="KM179"/>
      <c r="KN179"/>
      <c r="KO179"/>
      <c r="KP179"/>
      <c r="KQ179"/>
      <c r="KR179"/>
      <c r="KS179"/>
    </row>
    <row r="180" spans="2:305" hidden="1" x14ac:dyDescent="0.25">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c r="FX180"/>
      <c r="FY180"/>
      <c r="FZ180"/>
      <c r="GA180"/>
      <c r="GB180"/>
      <c r="GC180"/>
      <c r="GD180"/>
      <c r="GE180"/>
      <c r="GF180"/>
      <c r="GG180"/>
      <c r="GH180"/>
      <c r="GI180"/>
      <c r="GJ180"/>
      <c r="GK180"/>
      <c r="GL180"/>
      <c r="GM180"/>
      <c r="GN180"/>
      <c r="GO180"/>
      <c r="GP180"/>
      <c r="GQ180"/>
      <c r="GR180"/>
      <c r="GS180"/>
      <c r="GT180"/>
      <c r="GU180"/>
      <c r="GV180"/>
      <c r="GW180"/>
      <c r="GX180"/>
      <c r="GY180"/>
      <c r="GZ180"/>
      <c r="HA180"/>
      <c r="HB180"/>
      <c r="HC180"/>
      <c r="HD180"/>
      <c r="HE180"/>
      <c r="HF180"/>
      <c r="HG180"/>
      <c r="HH180"/>
      <c r="HI180"/>
      <c r="HJ180"/>
      <c r="HK180"/>
      <c r="HL180"/>
      <c r="HM180"/>
      <c r="HN180"/>
      <c r="HO180"/>
      <c r="HP180"/>
      <c r="HQ180"/>
      <c r="HR180"/>
      <c r="HS180"/>
      <c r="HT180"/>
      <c r="HU180"/>
      <c r="HV180"/>
      <c r="HW180"/>
      <c r="HX180"/>
      <c r="HY180"/>
      <c r="HZ180"/>
      <c r="IA180"/>
      <c r="IB180"/>
      <c r="IC180"/>
      <c r="ID180"/>
      <c r="IE180"/>
      <c r="IF180"/>
      <c r="IG180"/>
      <c r="IH180"/>
      <c r="II180"/>
      <c r="IJ180"/>
      <c r="IK180"/>
      <c r="IL180"/>
      <c r="IM180"/>
      <c r="IN180"/>
      <c r="IO180"/>
      <c r="IP180"/>
      <c r="IQ180"/>
      <c r="IR180"/>
      <c r="IS180"/>
      <c r="IT180"/>
      <c r="IU180"/>
      <c r="IV180"/>
      <c r="IW180"/>
      <c r="IX180"/>
      <c r="IY180"/>
      <c r="IZ180"/>
      <c r="JA180"/>
      <c r="JB180"/>
      <c r="JC180"/>
      <c r="JD180"/>
      <c r="JE180"/>
      <c r="JF180"/>
      <c r="JG180"/>
      <c r="JH180"/>
      <c r="JI180"/>
      <c r="JJ180"/>
      <c r="JK180"/>
      <c r="JL180"/>
      <c r="JM180"/>
      <c r="JN180"/>
      <c r="JO180"/>
      <c r="JP180"/>
      <c r="JQ180"/>
      <c r="JR180"/>
      <c r="JS180"/>
      <c r="JT180"/>
      <c r="JU180"/>
      <c r="JV180"/>
      <c r="JW180"/>
      <c r="JX180"/>
      <c r="JY180"/>
      <c r="JZ180"/>
      <c r="KA180"/>
      <c r="KB180"/>
      <c r="KC180"/>
      <c r="KD180"/>
      <c r="KE180"/>
      <c r="KF180"/>
      <c r="KG180"/>
      <c r="KH180"/>
      <c r="KI180"/>
      <c r="KJ180"/>
      <c r="KK180"/>
      <c r="KL180"/>
      <c r="KM180"/>
      <c r="KN180"/>
      <c r="KO180"/>
      <c r="KP180"/>
      <c r="KQ180"/>
      <c r="KR180"/>
      <c r="KS180"/>
    </row>
    <row r="181" spans="2:305" hidden="1" x14ac:dyDescent="0.25">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c r="FX181"/>
      <c r="FY181"/>
      <c r="FZ181"/>
      <c r="GA181"/>
      <c r="GB181"/>
      <c r="GC181"/>
      <c r="GD181"/>
      <c r="GE181"/>
      <c r="GF181"/>
      <c r="GG181"/>
      <c r="GH181"/>
      <c r="GI181"/>
      <c r="GJ181"/>
      <c r="GK181"/>
      <c r="GL181"/>
      <c r="GM181"/>
      <c r="GN181"/>
      <c r="GO181"/>
      <c r="GP181"/>
      <c r="GQ181"/>
      <c r="GR181"/>
      <c r="GS181"/>
      <c r="GT181"/>
      <c r="GU181"/>
      <c r="GV181"/>
      <c r="GW181"/>
      <c r="GX181"/>
      <c r="GY181"/>
      <c r="GZ181"/>
      <c r="HA181"/>
      <c r="HB181"/>
      <c r="HC181"/>
      <c r="HD181"/>
      <c r="HE181"/>
      <c r="HF181"/>
      <c r="HG181"/>
      <c r="HH181"/>
      <c r="HI181"/>
      <c r="HJ181"/>
      <c r="HK181"/>
      <c r="HL181"/>
      <c r="HM181"/>
      <c r="HN181"/>
      <c r="HO181"/>
      <c r="HP181"/>
      <c r="HQ181"/>
      <c r="HR181"/>
      <c r="HS181"/>
      <c r="HT181"/>
      <c r="HU181"/>
      <c r="HV181"/>
      <c r="HW181"/>
      <c r="HX181"/>
      <c r="HY181"/>
      <c r="HZ181"/>
      <c r="IA181"/>
      <c r="IB181"/>
      <c r="IC181"/>
      <c r="ID181"/>
      <c r="IE181"/>
      <c r="IF181"/>
      <c r="IG181"/>
      <c r="IH181"/>
      <c r="II181"/>
      <c r="IJ181"/>
      <c r="IK181"/>
      <c r="IL181"/>
      <c r="IM181"/>
      <c r="IN181"/>
      <c r="IO181"/>
      <c r="IP181"/>
      <c r="IQ181"/>
      <c r="IR181"/>
      <c r="IS181"/>
      <c r="IT181"/>
      <c r="IU181"/>
      <c r="IV181"/>
      <c r="IW181"/>
      <c r="IX181"/>
      <c r="IY181"/>
      <c r="IZ181"/>
      <c r="JA181"/>
      <c r="JB181"/>
      <c r="JC181"/>
      <c r="JD181"/>
      <c r="JE181"/>
      <c r="JF181"/>
      <c r="JG181"/>
      <c r="JH181"/>
      <c r="JI181"/>
      <c r="JJ181"/>
      <c r="JK181"/>
      <c r="JL181"/>
      <c r="JM181"/>
      <c r="JN181"/>
      <c r="JO181"/>
      <c r="JP181"/>
      <c r="JQ181"/>
      <c r="JR181"/>
      <c r="JS181"/>
      <c r="JT181"/>
      <c r="JU181"/>
      <c r="JV181"/>
      <c r="JW181"/>
      <c r="JX181"/>
      <c r="JY181"/>
      <c r="JZ181"/>
      <c r="KA181"/>
      <c r="KB181"/>
      <c r="KC181"/>
      <c r="KD181"/>
      <c r="KE181"/>
      <c r="KF181"/>
      <c r="KG181"/>
      <c r="KH181"/>
      <c r="KI181"/>
      <c r="KJ181"/>
      <c r="KK181"/>
      <c r="KL181"/>
      <c r="KM181"/>
      <c r="KN181"/>
      <c r="KO181"/>
      <c r="KP181"/>
      <c r="KQ181"/>
      <c r="KR181"/>
      <c r="KS181"/>
    </row>
    <row r="182" spans="2:305" hidden="1" x14ac:dyDescent="0.25">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c r="FX182"/>
      <c r="FY182"/>
      <c r="FZ182"/>
      <c r="GA182"/>
      <c r="GB182"/>
      <c r="GC182"/>
      <c r="GD182"/>
      <c r="GE182"/>
      <c r="GF182"/>
      <c r="GG182"/>
      <c r="GH182"/>
      <c r="GI182"/>
      <c r="GJ182"/>
      <c r="GK182"/>
      <c r="GL182"/>
      <c r="GM182"/>
      <c r="GN182"/>
      <c r="GO182"/>
      <c r="GP182"/>
      <c r="GQ182"/>
      <c r="GR182"/>
      <c r="GS182"/>
      <c r="GT182"/>
      <c r="GU182"/>
      <c r="GV182"/>
      <c r="GW182"/>
      <c r="GX182"/>
      <c r="GY182"/>
      <c r="GZ182"/>
      <c r="HA182"/>
      <c r="HB182"/>
      <c r="HC182"/>
      <c r="HD182"/>
      <c r="HE182"/>
      <c r="HF182"/>
      <c r="HG182"/>
      <c r="HH182"/>
      <c r="HI182"/>
      <c r="HJ182"/>
      <c r="HK182"/>
      <c r="HL182"/>
      <c r="HM182"/>
      <c r="HN182"/>
      <c r="HO182"/>
      <c r="HP182"/>
      <c r="HQ182"/>
      <c r="HR182"/>
      <c r="HS182"/>
      <c r="HT182"/>
      <c r="HU182"/>
      <c r="HV182"/>
      <c r="HW182"/>
      <c r="HX182"/>
      <c r="HY182"/>
      <c r="HZ182"/>
      <c r="IA182"/>
      <c r="IB182"/>
      <c r="IC182"/>
      <c r="ID182"/>
      <c r="IE182"/>
      <c r="IF182"/>
      <c r="IG182"/>
      <c r="IH182"/>
      <c r="II182"/>
      <c r="IJ182"/>
      <c r="IK182"/>
      <c r="IL182"/>
      <c r="IM182"/>
      <c r="IN182"/>
      <c r="IO182"/>
      <c r="IP182"/>
      <c r="IQ182"/>
      <c r="IR182"/>
      <c r="IS182"/>
      <c r="IT182"/>
      <c r="IU182"/>
      <c r="IV182"/>
      <c r="IW182"/>
      <c r="IX182"/>
      <c r="IY182"/>
      <c r="IZ182"/>
      <c r="JA182"/>
      <c r="JB182"/>
      <c r="JC182"/>
      <c r="JD182"/>
      <c r="JE182"/>
      <c r="JF182"/>
      <c r="JG182"/>
      <c r="JH182"/>
      <c r="JI182"/>
      <c r="JJ182"/>
      <c r="JK182"/>
      <c r="JL182"/>
      <c r="JM182"/>
      <c r="JN182"/>
      <c r="JO182"/>
      <c r="JP182"/>
      <c r="JQ182"/>
      <c r="JR182"/>
      <c r="JS182"/>
      <c r="JT182"/>
      <c r="JU182"/>
      <c r="JV182"/>
      <c r="JW182"/>
      <c r="JX182"/>
      <c r="JY182"/>
      <c r="JZ182"/>
      <c r="KA182"/>
      <c r="KB182"/>
      <c r="KC182"/>
      <c r="KD182"/>
      <c r="KE182"/>
      <c r="KF182"/>
      <c r="KG182"/>
      <c r="KH182"/>
      <c r="KI182"/>
      <c r="KJ182"/>
      <c r="KK182"/>
      <c r="KL182"/>
      <c r="KM182"/>
      <c r="KN182"/>
      <c r="KO182"/>
      <c r="KP182"/>
      <c r="KQ182"/>
      <c r="KR182"/>
      <c r="KS182"/>
    </row>
    <row r="183" spans="2:305" hidden="1" x14ac:dyDescent="0.25">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c r="FX183"/>
      <c r="FY183"/>
      <c r="FZ183"/>
      <c r="GA183"/>
      <c r="GB183"/>
      <c r="GC183"/>
      <c r="GD183"/>
      <c r="GE183"/>
      <c r="GF183"/>
      <c r="GG183"/>
      <c r="GH183"/>
      <c r="GI183"/>
      <c r="GJ183"/>
      <c r="GK183"/>
      <c r="GL183"/>
      <c r="GM183"/>
      <c r="GN183"/>
      <c r="GO183"/>
      <c r="GP183"/>
      <c r="GQ183"/>
      <c r="GR183"/>
      <c r="GS183"/>
      <c r="GT183"/>
      <c r="GU183"/>
      <c r="GV183"/>
      <c r="GW183"/>
      <c r="GX183"/>
      <c r="GY183"/>
      <c r="GZ183"/>
      <c r="HA183"/>
      <c r="HB183"/>
      <c r="HC183"/>
      <c r="HD183"/>
      <c r="HE183"/>
      <c r="HF183"/>
      <c r="HG183"/>
      <c r="HH183"/>
      <c r="HI183"/>
      <c r="HJ183"/>
      <c r="HK183"/>
      <c r="HL183"/>
      <c r="HM183"/>
      <c r="HN183"/>
      <c r="HO183"/>
      <c r="HP183"/>
      <c r="HQ183"/>
      <c r="HR183"/>
      <c r="HS183"/>
      <c r="HT183"/>
      <c r="HU183"/>
      <c r="HV183"/>
      <c r="HW183"/>
      <c r="HX183"/>
      <c r="HY183"/>
      <c r="HZ183"/>
      <c r="IA183"/>
      <c r="IB183"/>
      <c r="IC183"/>
      <c r="ID183"/>
      <c r="IE183"/>
      <c r="IF183"/>
      <c r="IG183"/>
      <c r="IH183"/>
      <c r="II183"/>
      <c r="IJ183"/>
      <c r="IK183"/>
      <c r="IL183"/>
      <c r="IM183"/>
      <c r="IN183"/>
      <c r="IO183"/>
      <c r="IP183"/>
      <c r="IQ183"/>
      <c r="IR183"/>
      <c r="IS183"/>
      <c r="IT183"/>
      <c r="IU183"/>
      <c r="IV183"/>
      <c r="IW183"/>
      <c r="IX183"/>
      <c r="IY183"/>
      <c r="IZ183"/>
      <c r="JA183"/>
      <c r="JB183"/>
      <c r="JC183"/>
      <c r="JD183"/>
      <c r="JE183"/>
      <c r="JF183"/>
      <c r="JG183"/>
      <c r="JH183"/>
      <c r="JI183"/>
      <c r="JJ183"/>
      <c r="JK183"/>
      <c r="JL183"/>
      <c r="JM183"/>
      <c r="JN183"/>
      <c r="JO183"/>
      <c r="JP183"/>
      <c r="JQ183"/>
      <c r="JR183"/>
      <c r="JS183"/>
      <c r="JT183"/>
      <c r="JU183"/>
      <c r="JV183"/>
      <c r="JW183"/>
      <c r="JX183"/>
      <c r="JY183"/>
      <c r="JZ183"/>
      <c r="KA183"/>
      <c r="KB183"/>
      <c r="KC183"/>
      <c r="KD183"/>
      <c r="KE183"/>
      <c r="KF183"/>
      <c r="KG183"/>
      <c r="KH183"/>
      <c r="KI183"/>
      <c r="KJ183"/>
      <c r="KK183"/>
      <c r="KL183"/>
      <c r="KM183"/>
      <c r="KN183"/>
      <c r="KO183"/>
      <c r="KP183"/>
      <c r="KQ183"/>
      <c r="KR183"/>
      <c r="KS183"/>
    </row>
    <row r="184" spans="2:305" hidden="1" x14ac:dyDescent="0.25">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c r="FX184"/>
      <c r="FY184"/>
      <c r="FZ184"/>
      <c r="GA184"/>
      <c r="GB184"/>
      <c r="GC184"/>
      <c r="GD184"/>
      <c r="GE184"/>
      <c r="GF184"/>
      <c r="GG184"/>
      <c r="GH184"/>
      <c r="GI184"/>
      <c r="GJ184"/>
      <c r="GK184"/>
      <c r="GL184"/>
      <c r="GM184"/>
      <c r="GN184"/>
      <c r="GO184"/>
      <c r="GP184"/>
      <c r="GQ184"/>
      <c r="GR184"/>
      <c r="GS184"/>
      <c r="GT184"/>
      <c r="GU184"/>
      <c r="GV184"/>
      <c r="GW184"/>
      <c r="GX184"/>
      <c r="GY184"/>
      <c r="GZ184"/>
      <c r="HA184"/>
      <c r="HB184"/>
      <c r="HC184"/>
      <c r="HD184"/>
      <c r="HE184"/>
      <c r="HF184"/>
      <c r="HG184"/>
      <c r="HH184"/>
      <c r="HI184"/>
      <c r="HJ184"/>
      <c r="HK184"/>
      <c r="HL184"/>
      <c r="HM184"/>
      <c r="HN184"/>
      <c r="HO184"/>
      <c r="HP184"/>
      <c r="HQ184"/>
      <c r="HR184"/>
      <c r="HS184"/>
      <c r="HT184"/>
      <c r="HU184"/>
      <c r="HV184"/>
      <c r="HW184"/>
      <c r="HX184"/>
      <c r="HY184"/>
      <c r="HZ184"/>
      <c r="IA184"/>
      <c r="IB184"/>
      <c r="IC184"/>
      <c r="ID184"/>
      <c r="IE184"/>
      <c r="IF184"/>
      <c r="IG184"/>
      <c r="IH184"/>
      <c r="II184"/>
      <c r="IJ184"/>
      <c r="IK184"/>
      <c r="IL184"/>
      <c r="IM184"/>
      <c r="IN184"/>
      <c r="IO184"/>
      <c r="IP184"/>
      <c r="IQ184"/>
      <c r="IR184"/>
      <c r="IS184"/>
      <c r="IT184"/>
      <c r="IU184"/>
      <c r="IV184"/>
      <c r="IW184"/>
      <c r="IX184"/>
      <c r="IY184"/>
      <c r="IZ184"/>
      <c r="JA184"/>
      <c r="JB184"/>
      <c r="JC184"/>
      <c r="JD184"/>
      <c r="JE184"/>
      <c r="JF184"/>
      <c r="JG184"/>
      <c r="JH184"/>
      <c r="JI184"/>
      <c r="JJ184"/>
      <c r="JK184"/>
      <c r="JL184"/>
      <c r="JM184"/>
      <c r="JN184"/>
      <c r="JO184"/>
      <c r="JP184"/>
      <c r="JQ184"/>
      <c r="JR184"/>
      <c r="JS184"/>
      <c r="JT184"/>
      <c r="JU184"/>
      <c r="JV184"/>
      <c r="JW184"/>
      <c r="JX184"/>
      <c r="JY184"/>
      <c r="JZ184"/>
      <c r="KA184"/>
      <c r="KB184"/>
      <c r="KC184"/>
      <c r="KD184"/>
      <c r="KE184"/>
      <c r="KF184"/>
      <c r="KG184"/>
      <c r="KH184"/>
      <c r="KI184"/>
      <c r="KJ184"/>
      <c r="KK184"/>
      <c r="KL184"/>
      <c r="KM184"/>
      <c r="KN184"/>
      <c r="KO184"/>
      <c r="KP184"/>
      <c r="KQ184"/>
      <c r="KR184"/>
      <c r="KS184"/>
    </row>
    <row r="185" spans="2:305" hidden="1" x14ac:dyDescent="0.2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c r="FX185"/>
      <c r="FY185"/>
      <c r="FZ185"/>
      <c r="GA185"/>
      <c r="GB185"/>
      <c r="GC185"/>
      <c r="GD185"/>
      <c r="GE185"/>
      <c r="GF185"/>
      <c r="GG185"/>
      <c r="GH185"/>
      <c r="GI185"/>
      <c r="GJ185"/>
      <c r="GK185"/>
      <c r="GL185"/>
      <c r="GM185"/>
      <c r="GN185"/>
      <c r="GO185"/>
      <c r="GP185"/>
      <c r="GQ185"/>
      <c r="GR185"/>
      <c r="GS185"/>
      <c r="GT185"/>
      <c r="GU185"/>
      <c r="GV185"/>
      <c r="GW185"/>
      <c r="GX185"/>
      <c r="GY185"/>
      <c r="GZ185"/>
      <c r="HA185"/>
      <c r="HB185"/>
      <c r="HC185"/>
      <c r="HD185"/>
      <c r="HE185"/>
      <c r="HF185"/>
      <c r="HG185"/>
      <c r="HH185"/>
      <c r="HI185"/>
      <c r="HJ185"/>
      <c r="HK185"/>
      <c r="HL185"/>
      <c r="HM185"/>
      <c r="HN185"/>
      <c r="HO185"/>
      <c r="HP185"/>
      <c r="HQ185"/>
      <c r="HR185"/>
      <c r="HS185"/>
      <c r="HT185"/>
      <c r="HU185"/>
      <c r="HV185"/>
      <c r="HW185"/>
      <c r="HX185"/>
      <c r="HY185"/>
      <c r="HZ185"/>
      <c r="IA185"/>
      <c r="IB185"/>
      <c r="IC185"/>
      <c r="ID185"/>
      <c r="IE185"/>
      <c r="IF185"/>
      <c r="IG185"/>
      <c r="IH185"/>
      <c r="II185"/>
      <c r="IJ185"/>
      <c r="IK185"/>
      <c r="IL185"/>
      <c r="IM185"/>
      <c r="IN185"/>
      <c r="IO185"/>
      <c r="IP185"/>
      <c r="IQ185"/>
      <c r="IR185"/>
      <c r="IS185"/>
      <c r="IT185"/>
      <c r="IU185"/>
      <c r="IV185"/>
      <c r="IW185"/>
      <c r="IX185"/>
      <c r="IY185"/>
      <c r="IZ185"/>
      <c r="JA185"/>
      <c r="JB185"/>
      <c r="JC185"/>
      <c r="JD185"/>
      <c r="JE185"/>
      <c r="JF185"/>
      <c r="JG185"/>
      <c r="JH185"/>
      <c r="JI185"/>
      <c r="JJ185"/>
      <c r="JK185"/>
      <c r="JL185"/>
      <c r="JM185"/>
      <c r="JN185"/>
      <c r="JO185"/>
      <c r="JP185"/>
      <c r="JQ185"/>
      <c r="JR185"/>
      <c r="JS185"/>
      <c r="JT185"/>
      <c r="JU185"/>
      <c r="JV185"/>
      <c r="JW185"/>
      <c r="JX185"/>
      <c r="JY185"/>
      <c r="JZ185"/>
      <c r="KA185"/>
      <c r="KB185"/>
      <c r="KC185"/>
      <c r="KD185"/>
      <c r="KE185"/>
      <c r="KF185"/>
      <c r="KG185"/>
      <c r="KH185"/>
      <c r="KI185"/>
      <c r="KJ185"/>
      <c r="KK185"/>
      <c r="KL185"/>
      <c r="KM185"/>
      <c r="KN185"/>
      <c r="KO185"/>
      <c r="KP185"/>
      <c r="KQ185"/>
      <c r="KR185"/>
      <c r="KS185"/>
    </row>
    <row r="186" spans="2:305" hidden="1" x14ac:dyDescent="0.25">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c r="FX186"/>
      <c r="FY186"/>
      <c r="FZ186"/>
      <c r="GA186"/>
      <c r="GB186"/>
      <c r="GC186"/>
      <c r="GD186"/>
      <c r="GE186"/>
      <c r="GF186"/>
      <c r="GG186"/>
      <c r="GH186"/>
      <c r="GI186"/>
      <c r="GJ186"/>
      <c r="GK186"/>
      <c r="GL186"/>
      <c r="GM186"/>
      <c r="GN186"/>
      <c r="GO186"/>
      <c r="GP186"/>
      <c r="GQ186"/>
      <c r="GR186"/>
      <c r="GS186"/>
      <c r="GT186"/>
      <c r="GU186"/>
      <c r="GV186"/>
      <c r="GW186"/>
      <c r="GX186"/>
      <c r="GY186"/>
      <c r="GZ186"/>
      <c r="HA186"/>
      <c r="HB186"/>
      <c r="HC186"/>
      <c r="HD186"/>
      <c r="HE186"/>
      <c r="HF186"/>
      <c r="HG186"/>
      <c r="HH186"/>
      <c r="HI186"/>
      <c r="HJ186"/>
      <c r="HK186"/>
      <c r="HL186"/>
      <c r="HM186"/>
      <c r="HN186"/>
      <c r="HO186"/>
      <c r="HP186"/>
      <c r="HQ186"/>
      <c r="HR186"/>
      <c r="HS186"/>
      <c r="HT186"/>
      <c r="HU186"/>
      <c r="HV186"/>
      <c r="HW186"/>
      <c r="HX186"/>
      <c r="HY186"/>
      <c r="HZ186"/>
      <c r="IA186"/>
      <c r="IB186"/>
      <c r="IC186"/>
      <c r="ID186"/>
      <c r="IE186"/>
      <c r="IF186"/>
      <c r="IG186"/>
      <c r="IH186"/>
      <c r="II186"/>
      <c r="IJ186"/>
      <c r="IK186"/>
      <c r="IL186"/>
      <c r="IM186"/>
      <c r="IN186"/>
      <c r="IO186"/>
      <c r="IP186"/>
      <c r="IQ186"/>
      <c r="IR186"/>
      <c r="IS186"/>
      <c r="IT186"/>
      <c r="IU186"/>
      <c r="IV186"/>
      <c r="IW186"/>
      <c r="IX186"/>
      <c r="IY186"/>
      <c r="IZ186"/>
      <c r="JA186"/>
      <c r="JB186"/>
      <c r="JC186"/>
      <c r="JD186"/>
      <c r="JE186"/>
      <c r="JF186"/>
      <c r="JG186"/>
      <c r="JH186"/>
      <c r="JI186"/>
      <c r="JJ186"/>
      <c r="JK186"/>
      <c r="JL186"/>
      <c r="JM186"/>
      <c r="JN186"/>
      <c r="JO186"/>
      <c r="JP186"/>
      <c r="JQ186"/>
      <c r="JR186"/>
      <c r="JS186"/>
      <c r="JT186"/>
      <c r="JU186"/>
      <c r="JV186"/>
      <c r="JW186"/>
      <c r="JX186"/>
      <c r="JY186"/>
      <c r="JZ186"/>
      <c r="KA186"/>
      <c r="KB186"/>
      <c r="KC186"/>
      <c r="KD186"/>
      <c r="KE186"/>
      <c r="KF186"/>
      <c r="KG186"/>
      <c r="KH186"/>
      <c r="KI186"/>
      <c r="KJ186"/>
      <c r="KK186"/>
      <c r="KL186"/>
      <c r="KM186"/>
      <c r="KN186"/>
      <c r="KO186"/>
      <c r="KP186"/>
      <c r="KQ186"/>
      <c r="KR186"/>
      <c r="KS186"/>
    </row>
    <row r="187" spans="2:305" hidden="1" x14ac:dyDescent="0.25">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c r="GN187"/>
      <c r="GO187"/>
      <c r="GP187"/>
      <c r="GQ187"/>
      <c r="GR187"/>
      <c r="GS187"/>
      <c r="GT187"/>
      <c r="GU187"/>
      <c r="GV187"/>
      <c r="GW187"/>
      <c r="GX187"/>
      <c r="GY187"/>
      <c r="GZ187"/>
      <c r="HA187"/>
      <c r="HB187"/>
      <c r="HC187"/>
      <c r="HD187"/>
      <c r="HE187"/>
      <c r="HF187"/>
      <c r="HG187"/>
      <c r="HH187"/>
      <c r="HI187"/>
      <c r="HJ187"/>
      <c r="HK187"/>
      <c r="HL187"/>
      <c r="HM187"/>
      <c r="HN187"/>
      <c r="HO187"/>
      <c r="HP187"/>
      <c r="HQ187"/>
      <c r="HR187"/>
      <c r="HS187"/>
      <c r="HT187"/>
      <c r="HU187"/>
      <c r="HV187"/>
      <c r="HW187"/>
      <c r="HX187"/>
      <c r="HY187"/>
      <c r="HZ187"/>
      <c r="IA187"/>
      <c r="IB187"/>
      <c r="IC187"/>
      <c r="ID187"/>
      <c r="IE187"/>
      <c r="IF187"/>
      <c r="IG187"/>
      <c r="IH187"/>
      <c r="II187"/>
      <c r="IJ187"/>
      <c r="IK187"/>
      <c r="IL187"/>
      <c r="IM187"/>
      <c r="IN187"/>
      <c r="IO187"/>
      <c r="IP187"/>
      <c r="IQ187"/>
      <c r="IR187"/>
      <c r="IS187"/>
      <c r="IT187"/>
      <c r="IU187"/>
      <c r="IV187"/>
      <c r="IW187"/>
      <c r="IX187"/>
      <c r="IY187"/>
      <c r="IZ187"/>
      <c r="JA187"/>
      <c r="JB187"/>
      <c r="JC187"/>
      <c r="JD187"/>
      <c r="JE187"/>
      <c r="JF187"/>
      <c r="JG187"/>
      <c r="JH187"/>
      <c r="JI187"/>
      <c r="JJ187"/>
      <c r="JK187"/>
      <c r="JL187"/>
      <c r="JM187"/>
      <c r="JN187"/>
      <c r="JO187"/>
      <c r="JP187"/>
      <c r="JQ187"/>
      <c r="JR187"/>
      <c r="JS187"/>
      <c r="JT187"/>
      <c r="JU187"/>
      <c r="JV187"/>
      <c r="JW187"/>
      <c r="JX187"/>
      <c r="JY187"/>
      <c r="JZ187"/>
      <c r="KA187"/>
      <c r="KB187"/>
      <c r="KC187"/>
      <c r="KD187"/>
      <c r="KE187"/>
      <c r="KF187"/>
      <c r="KG187"/>
      <c r="KH187"/>
      <c r="KI187"/>
      <c r="KJ187"/>
      <c r="KK187"/>
      <c r="KL187"/>
      <c r="KM187"/>
      <c r="KN187"/>
      <c r="KO187"/>
      <c r="KP187"/>
      <c r="KQ187"/>
      <c r="KR187"/>
      <c r="KS187"/>
    </row>
    <row r="188" spans="2:305" hidden="1" x14ac:dyDescent="0.25">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c r="GN188"/>
      <c r="GO188"/>
      <c r="GP188"/>
      <c r="GQ188"/>
      <c r="GR188"/>
      <c r="GS188"/>
      <c r="GT188"/>
      <c r="GU188"/>
      <c r="GV188"/>
      <c r="GW188"/>
      <c r="GX188"/>
      <c r="GY188"/>
      <c r="GZ188"/>
      <c r="HA188"/>
      <c r="HB188"/>
      <c r="HC188"/>
      <c r="HD188"/>
      <c r="HE188"/>
      <c r="HF188"/>
      <c r="HG188"/>
      <c r="HH188"/>
      <c r="HI188"/>
      <c r="HJ188"/>
      <c r="HK188"/>
      <c r="HL188"/>
      <c r="HM188"/>
      <c r="HN188"/>
      <c r="HO188"/>
      <c r="HP188"/>
      <c r="HQ188"/>
      <c r="HR188"/>
      <c r="HS188"/>
      <c r="HT188"/>
      <c r="HU188"/>
      <c r="HV188"/>
      <c r="HW188"/>
      <c r="HX188"/>
      <c r="HY188"/>
      <c r="HZ188"/>
      <c r="IA188"/>
      <c r="IB188"/>
      <c r="IC188"/>
      <c r="ID188"/>
      <c r="IE188"/>
      <c r="IF188"/>
      <c r="IG188"/>
      <c r="IH188"/>
      <c r="II188"/>
      <c r="IJ188"/>
      <c r="IK188"/>
      <c r="IL188"/>
      <c r="IM188"/>
      <c r="IN188"/>
      <c r="IO188"/>
      <c r="IP188"/>
      <c r="IQ188"/>
      <c r="IR188"/>
      <c r="IS188"/>
      <c r="IT188"/>
      <c r="IU188"/>
      <c r="IV188"/>
      <c r="IW188"/>
      <c r="IX188"/>
      <c r="IY188"/>
      <c r="IZ188"/>
      <c r="JA188"/>
      <c r="JB188"/>
      <c r="JC188"/>
      <c r="JD188"/>
      <c r="JE188"/>
      <c r="JF188"/>
      <c r="JG188"/>
      <c r="JH188"/>
      <c r="JI188"/>
      <c r="JJ188"/>
      <c r="JK188"/>
      <c r="JL188"/>
      <c r="JM188"/>
      <c r="JN188"/>
      <c r="JO188"/>
      <c r="JP188"/>
      <c r="JQ188"/>
      <c r="JR188"/>
      <c r="JS188"/>
      <c r="JT188"/>
      <c r="JU188"/>
      <c r="JV188"/>
      <c r="JW188"/>
      <c r="JX188"/>
      <c r="JY188"/>
      <c r="JZ188"/>
      <c r="KA188"/>
      <c r="KB188"/>
      <c r="KC188"/>
      <c r="KD188"/>
      <c r="KE188"/>
      <c r="KF188"/>
      <c r="KG188"/>
      <c r="KH188"/>
      <c r="KI188"/>
      <c r="KJ188"/>
      <c r="KK188"/>
      <c r="KL188"/>
      <c r="KM188"/>
      <c r="KN188"/>
      <c r="KO188"/>
      <c r="KP188"/>
      <c r="KQ188"/>
      <c r="KR188"/>
      <c r="KS188"/>
    </row>
    <row r="189" spans="2:305" hidden="1" x14ac:dyDescent="0.25">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c r="GN189"/>
      <c r="GO189"/>
      <c r="GP189"/>
      <c r="GQ189"/>
      <c r="GR189"/>
      <c r="GS189"/>
      <c r="GT189"/>
      <c r="GU189"/>
      <c r="GV189"/>
      <c r="GW189"/>
      <c r="GX189"/>
      <c r="GY189"/>
      <c r="GZ189"/>
      <c r="HA189"/>
      <c r="HB189"/>
      <c r="HC189"/>
      <c r="HD189"/>
      <c r="HE189"/>
      <c r="HF189"/>
      <c r="HG189"/>
      <c r="HH189"/>
      <c r="HI189"/>
      <c r="HJ189"/>
      <c r="HK189"/>
      <c r="HL189"/>
      <c r="HM189"/>
      <c r="HN189"/>
      <c r="HO189"/>
      <c r="HP189"/>
      <c r="HQ189"/>
      <c r="HR189"/>
      <c r="HS189"/>
      <c r="HT189"/>
      <c r="HU189"/>
      <c r="HV189"/>
      <c r="HW189"/>
      <c r="HX189"/>
      <c r="HY189"/>
      <c r="HZ189"/>
      <c r="IA189"/>
      <c r="IB189"/>
      <c r="IC189"/>
      <c r="ID189"/>
      <c r="IE189"/>
      <c r="IF189"/>
      <c r="IG189"/>
      <c r="IH189"/>
      <c r="II189"/>
      <c r="IJ189"/>
      <c r="IK189"/>
      <c r="IL189"/>
      <c r="IM189"/>
      <c r="IN189"/>
      <c r="IO189"/>
      <c r="IP189"/>
      <c r="IQ189"/>
      <c r="IR189"/>
      <c r="IS189"/>
      <c r="IT189"/>
      <c r="IU189"/>
      <c r="IV189"/>
      <c r="IW189"/>
      <c r="IX189"/>
      <c r="IY189"/>
      <c r="IZ189"/>
      <c r="JA189"/>
      <c r="JB189"/>
      <c r="JC189"/>
      <c r="JD189"/>
      <c r="JE189"/>
      <c r="JF189"/>
      <c r="JG189"/>
      <c r="JH189"/>
      <c r="JI189"/>
      <c r="JJ189"/>
      <c r="JK189"/>
      <c r="JL189"/>
      <c r="JM189"/>
      <c r="JN189"/>
      <c r="JO189"/>
      <c r="JP189"/>
      <c r="JQ189"/>
      <c r="JR189"/>
      <c r="JS189"/>
      <c r="JT189"/>
      <c r="JU189"/>
      <c r="JV189"/>
      <c r="JW189"/>
      <c r="JX189"/>
      <c r="JY189"/>
      <c r="JZ189"/>
      <c r="KA189"/>
      <c r="KB189"/>
      <c r="KC189"/>
      <c r="KD189"/>
      <c r="KE189"/>
      <c r="KF189"/>
      <c r="KG189"/>
      <c r="KH189"/>
      <c r="KI189"/>
      <c r="KJ189"/>
      <c r="KK189"/>
      <c r="KL189"/>
      <c r="KM189"/>
      <c r="KN189"/>
      <c r="KO189"/>
      <c r="KP189"/>
      <c r="KQ189"/>
      <c r="KR189"/>
      <c r="KS189"/>
    </row>
    <row r="190" spans="2:305" hidden="1" x14ac:dyDescent="0.25">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c r="GN190"/>
      <c r="GO190"/>
      <c r="GP190"/>
      <c r="GQ190"/>
      <c r="GR190"/>
      <c r="GS190"/>
      <c r="GT190"/>
      <c r="GU190"/>
      <c r="GV190"/>
      <c r="GW190"/>
      <c r="GX190"/>
      <c r="GY190"/>
      <c r="GZ190"/>
      <c r="HA190"/>
      <c r="HB190"/>
      <c r="HC190"/>
      <c r="HD190"/>
      <c r="HE190"/>
      <c r="HF190"/>
      <c r="HG190"/>
      <c r="HH190"/>
      <c r="HI190"/>
      <c r="HJ190"/>
      <c r="HK190"/>
      <c r="HL190"/>
      <c r="HM190"/>
      <c r="HN190"/>
      <c r="HO190"/>
      <c r="HP190"/>
      <c r="HQ190"/>
      <c r="HR190"/>
      <c r="HS190"/>
      <c r="HT190"/>
      <c r="HU190"/>
      <c r="HV190"/>
      <c r="HW190"/>
      <c r="HX190"/>
      <c r="HY190"/>
      <c r="HZ190"/>
      <c r="IA190"/>
      <c r="IB190"/>
      <c r="IC190"/>
      <c r="ID190"/>
      <c r="IE190"/>
      <c r="IF190"/>
      <c r="IG190"/>
      <c r="IH190"/>
      <c r="II190"/>
      <c r="IJ190"/>
      <c r="IK190"/>
      <c r="IL190"/>
      <c r="IM190"/>
      <c r="IN190"/>
      <c r="IO190"/>
      <c r="IP190"/>
      <c r="IQ190"/>
      <c r="IR190"/>
      <c r="IS190"/>
      <c r="IT190"/>
      <c r="IU190"/>
      <c r="IV190"/>
      <c r="IW190"/>
      <c r="IX190"/>
      <c r="IY190"/>
      <c r="IZ190"/>
      <c r="JA190"/>
      <c r="JB190"/>
      <c r="JC190"/>
      <c r="JD190"/>
      <c r="JE190"/>
      <c r="JF190"/>
      <c r="JG190"/>
      <c r="JH190"/>
      <c r="JI190"/>
      <c r="JJ190"/>
      <c r="JK190"/>
      <c r="JL190"/>
      <c r="JM190"/>
      <c r="JN190"/>
      <c r="JO190"/>
      <c r="JP190"/>
      <c r="JQ190"/>
      <c r="JR190"/>
      <c r="JS190"/>
      <c r="JT190"/>
      <c r="JU190"/>
      <c r="JV190"/>
      <c r="JW190"/>
      <c r="JX190"/>
      <c r="JY190"/>
      <c r="JZ190"/>
      <c r="KA190"/>
      <c r="KB190"/>
      <c r="KC190"/>
      <c r="KD190"/>
      <c r="KE190"/>
      <c r="KF190"/>
      <c r="KG190"/>
      <c r="KH190"/>
      <c r="KI190"/>
      <c r="KJ190"/>
      <c r="KK190"/>
      <c r="KL190"/>
      <c r="KM190"/>
      <c r="KN190"/>
      <c r="KO190"/>
      <c r="KP190"/>
      <c r="KQ190"/>
      <c r="KR190"/>
      <c r="KS190"/>
    </row>
    <row r="191" spans="2:305" hidden="1" x14ac:dyDescent="0.25">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c r="GN191"/>
      <c r="GO191"/>
      <c r="GP191"/>
      <c r="GQ191"/>
      <c r="GR191"/>
      <c r="GS191"/>
      <c r="GT191"/>
      <c r="GU191"/>
      <c r="GV191"/>
      <c r="GW191"/>
      <c r="GX191"/>
      <c r="GY191"/>
      <c r="GZ191"/>
      <c r="HA191"/>
      <c r="HB191"/>
      <c r="HC191"/>
      <c r="HD191"/>
      <c r="HE191"/>
      <c r="HF191"/>
      <c r="HG191"/>
      <c r="HH191"/>
      <c r="HI191"/>
      <c r="HJ191"/>
      <c r="HK191"/>
      <c r="HL191"/>
      <c r="HM191"/>
      <c r="HN191"/>
      <c r="HO191"/>
      <c r="HP191"/>
      <c r="HQ191"/>
      <c r="HR191"/>
      <c r="HS191"/>
      <c r="HT191"/>
      <c r="HU191"/>
      <c r="HV191"/>
      <c r="HW191"/>
      <c r="HX191"/>
      <c r="HY191"/>
      <c r="HZ191"/>
      <c r="IA191"/>
      <c r="IB191"/>
      <c r="IC191"/>
      <c r="ID191"/>
      <c r="IE191"/>
      <c r="IF191"/>
      <c r="IG191"/>
      <c r="IH191"/>
      <c r="II191"/>
      <c r="IJ191"/>
      <c r="IK191"/>
      <c r="IL191"/>
      <c r="IM191"/>
      <c r="IN191"/>
      <c r="IO191"/>
      <c r="IP191"/>
      <c r="IQ191"/>
      <c r="IR191"/>
      <c r="IS191"/>
      <c r="IT191"/>
      <c r="IU191"/>
      <c r="IV191"/>
      <c r="IW191"/>
      <c r="IX191"/>
      <c r="IY191"/>
      <c r="IZ191"/>
      <c r="JA191"/>
      <c r="JB191"/>
      <c r="JC191"/>
      <c r="JD191"/>
      <c r="JE191"/>
      <c r="JF191"/>
      <c r="JG191"/>
      <c r="JH191"/>
      <c r="JI191"/>
      <c r="JJ191"/>
      <c r="JK191"/>
      <c r="JL191"/>
      <c r="JM191"/>
      <c r="JN191"/>
      <c r="JO191"/>
      <c r="JP191"/>
      <c r="JQ191"/>
      <c r="JR191"/>
      <c r="JS191"/>
      <c r="JT191"/>
      <c r="JU191"/>
      <c r="JV191"/>
      <c r="JW191"/>
      <c r="JX191"/>
      <c r="JY191"/>
      <c r="JZ191"/>
      <c r="KA191"/>
      <c r="KB191"/>
      <c r="KC191"/>
      <c r="KD191"/>
      <c r="KE191"/>
      <c r="KF191"/>
      <c r="KG191"/>
      <c r="KH191"/>
      <c r="KI191"/>
      <c r="KJ191"/>
      <c r="KK191"/>
      <c r="KL191"/>
      <c r="KM191"/>
      <c r="KN191"/>
      <c r="KO191"/>
      <c r="KP191"/>
      <c r="KQ191"/>
      <c r="KR191"/>
      <c r="KS191"/>
    </row>
    <row r="192" spans="2:305" hidden="1" x14ac:dyDescent="0.25">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c r="GN192"/>
      <c r="GO192"/>
      <c r="GP192"/>
      <c r="GQ192"/>
      <c r="GR192"/>
      <c r="GS192"/>
      <c r="GT192"/>
      <c r="GU192"/>
      <c r="GV192"/>
      <c r="GW192"/>
      <c r="GX192"/>
      <c r="GY192"/>
      <c r="GZ192"/>
      <c r="HA192"/>
      <c r="HB192"/>
      <c r="HC192"/>
      <c r="HD192"/>
      <c r="HE192"/>
      <c r="HF192"/>
      <c r="HG192"/>
      <c r="HH192"/>
      <c r="HI192"/>
      <c r="HJ192"/>
      <c r="HK192"/>
      <c r="HL192"/>
      <c r="HM192"/>
      <c r="HN192"/>
      <c r="HO192"/>
      <c r="HP192"/>
      <c r="HQ192"/>
      <c r="HR192"/>
      <c r="HS192"/>
      <c r="HT192"/>
      <c r="HU192"/>
      <c r="HV192"/>
      <c r="HW192"/>
      <c r="HX192"/>
      <c r="HY192"/>
      <c r="HZ192"/>
      <c r="IA192"/>
      <c r="IB192"/>
      <c r="IC192"/>
      <c r="ID192"/>
      <c r="IE192"/>
      <c r="IF192"/>
      <c r="IG192"/>
      <c r="IH192"/>
      <c r="II192"/>
      <c r="IJ192"/>
      <c r="IK192"/>
      <c r="IL192"/>
      <c r="IM192"/>
      <c r="IN192"/>
      <c r="IO192"/>
      <c r="IP192"/>
      <c r="IQ192"/>
      <c r="IR192"/>
      <c r="IS192"/>
      <c r="IT192"/>
      <c r="IU192"/>
      <c r="IV192"/>
      <c r="IW192"/>
      <c r="IX192"/>
      <c r="IY192"/>
      <c r="IZ192"/>
      <c r="JA192"/>
      <c r="JB192"/>
      <c r="JC192"/>
      <c r="JD192"/>
      <c r="JE192"/>
      <c r="JF192"/>
      <c r="JG192"/>
      <c r="JH192"/>
      <c r="JI192"/>
      <c r="JJ192"/>
      <c r="JK192"/>
      <c r="JL192"/>
      <c r="JM192"/>
      <c r="JN192"/>
      <c r="JO192"/>
      <c r="JP192"/>
      <c r="JQ192"/>
      <c r="JR192"/>
      <c r="JS192"/>
      <c r="JT192"/>
      <c r="JU192"/>
      <c r="JV192"/>
      <c r="JW192"/>
      <c r="JX192"/>
      <c r="JY192"/>
      <c r="JZ192"/>
      <c r="KA192"/>
      <c r="KB192"/>
      <c r="KC192"/>
      <c r="KD192"/>
      <c r="KE192"/>
      <c r="KF192"/>
      <c r="KG192"/>
      <c r="KH192"/>
      <c r="KI192"/>
      <c r="KJ192"/>
      <c r="KK192"/>
      <c r="KL192"/>
      <c r="KM192"/>
      <c r="KN192"/>
      <c r="KO192"/>
      <c r="KP192"/>
      <c r="KQ192"/>
      <c r="KR192"/>
      <c r="KS192"/>
    </row>
    <row r="193" spans="2:305" hidden="1" x14ac:dyDescent="0.25">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c r="GN193"/>
      <c r="GO193"/>
      <c r="GP193"/>
      <c r="GQ193"/>
      <c r="GR193"/>
      <c r="GS193"/>
      <c r="GT193"/>
      <c r="GU193"/>
      <c r="GV193"/>
      <c r="GW193"/>
      <c r="GX193"/>
      <c r="GY193"/>
      <c r="GZ193"/>
      <c r="HA193"/>
      <c r="HB193"/>
      <c r="HC193"/>
      <c r="HD193"/>
      <c r="HE193"/>
      <c r="HF193"/>
      <c r="HG193"/>
      <c r="HH193"/>
      <c r="HI193"/>
      <c r="HJ193"/>
      <c r="HK193"/>
      <c r="HL193"/>
      <c r="HM193"/>
      <c r="HN193"/>
      <c r="HO193"/>
      <c r="HP193"/>
      <c r="HQ193"/>
      <c r="HR193"/>
      <c r="HS193"/>
      <c r="HT193"/>
      <c r="HU193"/>
      <c r="HV193"/>
      <c r="HW193"/>
      <c r="HX193"/>
      <c r="HY193"/>
      <c r="HZ193"/>
      <c r="IA193"/>
      <c r="IB193"/>
      <c r="IC193"/>
      <c r="ID193"/>
      <c r="IE193"/>
      <c r="IF193"/>
      <c r="IG193"/>
      <c r="IH193"/>
      <c r="II193"/>
      <c r="IJ193"/>
      <c r="IK193"/>
      <c r="IL193"/>
      <c r="IM193"/>
      <c r="IN193"/>
      <c r="IO193"/>
      <c r="IP193"/>
      <c r="IQ193"/>
      <c r="IR193"/>
      <c r="IS193"/>
      <c r="IT193"/>
      <c r="IU193"/>
      <c r="IV193"/>
      <c r="IW193"/>
      <c r="IX193"/>
      <c r="IY193"/>
      <c r="IZ193"/>
      <c r="JA193"/>
      <c r="JB193"/>
      <c r="JC193"/>
      <c r="JD193"/>
      <c r="JE193"/>
      <c r="JF193"/>
      <c r="JG193"/>
      <c r="JH193"/>
      <c r="JI193"/>
      <c r="JJ193"/>
      <c r="JK193"/>
      <c r="JL193"/>
      <c r="JM193"/>
      <c r="JN193"/>
      <c r="JO193"/>
      <c r="JP193"/>
      <c r="JQ193"/>
      <c r="JR193"/>
      <c r="JS193"/>
      <c r="JT193"/>
      <c r="JU193"/>
      <c r="JV193"/>
      <c r="JW193"/>
      <c r="JX193"/>
      <c r="JY193"/>
      <c r="JZ193"/>
      <c r="KA193"/>
      <c r="KB193"/>
      <c r="KC193"/>
      <c r="KD193"/>
      <c r="KE193"/>
      <c r="KF193"/>
      <c r="KG193"/>
      <c r="KH193"/>
      <c r="KI193"/>
      <c r="KJ193"/>
      <c r="KK193"/>
      <c r="KL193"/>
      <c r="KM193"/>
      <c r="KN193"/>
      <c r="KO193"/>
      <c r="KP193"/>
      <c r="KQ193"/>
      <c r="KR193"/>
      <c r="KS193"/>
    </row>
    <row r="194" spans="2:305" hidden="1" x14ac:dyDescent="0.25">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c r="GN194"/>
      <c r="GO194"/>
      <c r="GP194"/>
      <c r="GQ194"/>
      <c r="GR194"/>
      <c r="GS194"/>
      <c r="GT194"/>
      <c r="GU194"/>
      <c r="GV194"/>
      <c r="GW194"/>
      <c r="GX194"/>
      <c r="GY194"/>
      <c r="GZ194"/>
      <c r="HA194"/>
      <c r="HB194"/>
      <c r="HC194"/>
      <c r="HD194"/>
      <c r="HE194"/>
      <c r="HF194"/>
      <c r="HG194"/>
      <c r="HH194"/>
      <c r="HI194"/>
      <c r="HJ194"/>
      <c r="HK194"/>
      <c r="HL194"/>
      <c r="HM194"/>
      <c r="HN194"/>
      <c r="HO194"/>
      <c r="HP194"/>
      <c r="HQ194"/>
      <c r="HR194"/>
      <c r="HS194"/>
      <c r="HT194"/>
      <c r="HU194"/>
      <c r="HV194"/>
      <c r="HW194"/>
      <c r="HX194"/>
      <c r="HY194"/>
      <c r="HZ194"/>
      <c r="IA194"/>
      <c r="IB194"/>
      <c r="IC194"/>
      <c r="ID194"/>
      <c r="IE194"/>
      <c r="IF194"/>
      <c r="IG194"/>
      <c r="IH194"/>
      <c r="II194"/>
      <c r="IJ194"/>
      <c r="IK194"/>
      <c r="IL194"/>
      <c r="IM194"/>
      <c r="IN194"/>
      <c r="IO194"/>
      <c r="IP194"/>
      <c r="IQ194"/>
      <c r="IR194"/>
      <c r="IS194"/>
      <c r="IT194"/>
      <c r="IU194"/>
      <c r="IV194"/>
      <c r="IW194"/>
      <c r="IX194"/>
      <c r="IY194"/>
      <c r="IZ194"/>
      <c r="JA194"/>
      <c r="JB194"/>
      <c r="JC194"/>
      <c r="JD194"/>
      <c r="JE194"/>
      <c r="JF194"/>
      <c r="JG194"/>
      <c r="JH194"/>
      <c r="JI194"/>
      <c r="JJ194"/>
      <c r="JK194"/>
      <c r="JL194"/>
      <c r="JM194"/>
      <c r="JN194"/>
      <c r="JO194"/>
      <c r="JP194"/>
      <c r="JQ194"/>
      <c r="JR194"/>
      <c r="JS194"/>
      <c r="JT194"/>
      <c r="JU194"/>
      <c r="JV194"/>
      <c r="JW194"/>
      <c r="JX194"/>
      <c r="JY194"/>
      <c r="JZ194"/>
      <c r="KA194"/>
      <c r="KB194"/>
      <c r="KC194"/>
      <c r="KD194"/>
      <c r="KE194"/>
      <c r="KF194"/>
      <c r="KG194"/>
      <c r="KH194"/>
      <c r="KI194"/>
      <c r="KJ194"/>
      <c r="KK194"/>
      <c r="KL194"/>
      <c r="KM194"/>
      <c r="KN194"/>
      <c r="KO194"/>
      <c r="KP194"/>
      <c r="KQ194"/>
      <c r="KR194"/>
      <c r="KS194"/>
    </row>
    <row r="195" spans="2:305" hidden="1" x14ac:dyDescent="0.2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c r="GN195"/>
      <c r="GO195"/>
      <c r="GP195"/>
      <c r="GQ195"/>
      <c r="GR195"/>
      <c r="GS195"/>
      <c r="GT195"/>
      <c r="GU195"/>
      <c r="GV195"/>
      <c r="GW195"/>
      <c r="GX195"/>
      <c r="GY195"/>
      <c r="GZ195"/>
      <c r="HA195"/>
      <c r="HB195"/>
      <c r="HC195"/>
      <c r="HD195"/>
      <c r="HE195"/>
      <c r="HF195"/>
      <c r="HG195"/>
      <c r="HH195"/>
      <c r="HI195"/>
      <c r="HJ195"/>
      <c r="HK195"/>
      <c r="HL195"/>
      <c r="HM195"/>
      <c r="HN195"/>
      <c r="HO195"/>
      <c r="HP195"/>
      <c r="HQ195"/>
      <c r="HR195"/>
      <c r="HS195"/>
      <c r="HT195"/>
      <c r="HU195"/>
      <c r="HV195"/>
      <c r="HW195"/>
      <c r="HX195"/>
      <c r="HY195"/>
      <c r="HZ195"/>
      <c r="IA195"/>
      <c r="IB195"/>
      <c r="IC195"/>
      <c r="ID195"/>
      <c r="IE195"/>
      <c r="IF195"/>
      <c r="IG195"/>
      <c r="IH195"/>
      <c r="II195"/>
      <c r="IJ195"/>
      <c r="IK195"/>
      <c r="IL195"/>
      <c r="IM195"/>
      <c r="IN195"/>
      <c r="IO195"/>
      <c r="IP195"/>
      <c r="IQ195"/>
      <c r="IR195"/>
      <c r="IS195"/>
      <c r="IT195"/>
      <c r="IU195"/>
      <c r="IV195"/>
      <c r="IW195"/>
      <c r="IX195"/>
      <c r="IY195"/>
      <c r="IZ195"/>
      <c r="JA195"/>
      <c r="JB195"/>
      <c r="JC195"/>
      <c r="JD195"/>
      <c r="JE195"/>
      <c r="JF195"/>
      <c r="JG195"/>
      <c r="JH195"/>
      <c r="JI195"/>
      <c r="JJ195"/>
      <c r="JK195"/>
      <c r="JL195"/>
      <c r="JM195"/>
      <c r="JN195"/>
      <c r="JO195"/>
      <c r="JP195"/>
      <c r="JQ195"/>
      <c r="JR195"/>
      <c r="JS195"/>
      <c r="JT195"/>
      <c r="JU195"/>
      <c r="JV195"/>
      <c r="JW195"/>
      <c r="JX195"/>
      <c r="JY195"/>
      <c r="JZ195"/>
      <c r="KA195"/>
      <c r="KB195"/>
      <c r="KC195"/>
      <c r="KD195"/>
      <c r="KE195"/>
      <c r="KF195"/>
      <c r="KG195"/>
      <c r="KH195"/>
      <c r="KI195"/>
      <c r="KJ195"/>
      <c r="KK195"/>
      <c r="KL195"/>
      <c r="KM195"/>
      <c r="KN195"/>
      <c r="KO195"/>
      <c r="KP195"/>
      <c r="KQ195"/>
      <c r="KR195"/>
      <c r="KS195"/>
    </row>
    <row r="196" spans="2:305" hidden="1" x14ac:dyDescent="0.25">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c r="GN196"/>
      <c r="GO196"/>
      <c r="GP196"/>
      <c r="GQ196"/>
      <c r="GR196"/>
      <c r="GS196"/>
      <c r="GT196"/>
      <c r="GU196"/>
      <c r="GV196"/>
      <c r="GW196"/>
      <c r="GX196"/>
      <c r="GY196"/>
      <c r="GZ196"/>
      <c r="HA196"/>
      <c r="HB196"/>
      <c r="HC196"/>
      <c r="HD196"/>
      <c r="HE196"/>
      <c r="HF196"/>
      <c r="HG196"/>
      <c r="HH196"/>
      <c r="HI196"/>
      <c r="HJ196"/>
      <c r="HK196"/>
      <c r="HL196"/>
      <c r="HM196"/>
      <c r="HN196"/>
      <c r="HO196"/>
      <c r="HP196"/>
      <c r="HQ196"/>
      <c r="HR196"/>
      <c r="HS196"/>
      <c r="HT196"/>
      <c r="HU196"/>
      <c r="HV196"/>
      <c r="HW196"/>
      <c r="HX196"/>
      <c r="HY196"/>
      <c r="HZ196"/>
      <c r="IA196"/>
      <c r="IB196"/>
      <c r="IC196"/>
      <c r="ID196"/>
      <c r="IE196"/>
      <c r="IF196"/>
      <c r="IG196"/>
      <c r="IH196"/>
      <c r="II196"/>
      <c r="IJ196"/>
      <c r="IK196"/>
      <c r="IL196"/>
      <c r="IM196"/>
      <c r="IN196"/>
      <c r="IO196"/>
      <c r="IP196"/>
      <c r="IQ196"/>
      <c r="IR196"/>
      <c r="IS196"/>
      <c r="IT196"/>
      <c r="IU196"/>
      <c r="IV196"/>
      <c r="IW196"/>
      <c r="IX196"/>
      <c r="IY196"/>
      <c r="IZ196"/>
      <c r="JA196"/>
      <c r="JB196"/>
      <c r="JC196"/>
      <c r="JD196"/>
      <c r="JE196"/>
      <c r="JF196"/>
      <c r="JG196"/>
      <c r="JH196"/>
      <c r="JI196"/>
      <c r="JJ196"/>
      <c r="JK196"/>
      <c r="JL196"/>
      <c r="JM196"/>
      <c r="JN196"/>
      <c r="JO196"/>
      <c r="JP196"/>
      <c r="JQ196"/>
      <c r="JR196"/>
      <c r="JS196"/>
      <c r="JT196"/>
      <c r="JU196"/>
      <c r="JV196"/>
      <c r="JW196"/>
      <c r="JX196"/>
      <c r="JY196"/>
      <c r="JZ196"/>
      <c r="KA196"/>
      <c r="KB196"/>
      <c r="KC196"/>
      <c r="KD196"/>
      <c r="KE196"/>
      <c r="KF196"/>
      <c r="KG196"/>
      <c r="KH196"/>
      <c r="KI196"/>
      <c r="KJ196"/>
      <c r="KK196"/>
      <c r="KL196"/>
      <c r="KM196"/>
      <c r="KN196"/>
      <c r="KO196"/>
      <c r="KP196"/>
      <c r="KQ196"/>
      <c r="KR196"/>
      <c r="KS196"/>
    </row>
    <row r="197" spans="2:305" hidden="1" x14ac:dyDescent="0.25">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c r="GN197"/>
      <c r="GO197"/>
      <c r="GP197"/>
      <c r="GQ197"/>
      <c r="GR197"/>
      <c r="GS197"/>
      <c r="GT197"/>
      <c r="GU197"/>
      <c r="GV197"/>
      <c r="GW197"/>
      <c r="GX197"/>
      <c r="GY197"/>
      <c r="GZ197"/>
      <c r="HA197"/>
      <c r="HB197"/>
      <c r="HC197"/>
      <c r="HD197"/>
      <c r="HE197"/>
      <c r="HF197"/>
      <c r="HG197"/>
      <c r="HH197"/>
      <c r="HI197"/>
      <c r="HJ197"/>
      <c r="HK197"/>
      <c r="HL197"/>
      <c r="HM197"/>
      <c r="HN197"/>
      <c r="HO197"/>
      <c r="HP197"/>
      <c r="HQ197"/>
      <c r="HR197"/>
      <c r="HS197"/>
      <c r="HT197"/>
      <c r="HU197"/>
      <c r="HV197"/>
      <c r="HW197"/>
      <c r="HX197"/>
      <c r="HY197"/>
      <c r="HZ197"/>
      <c r="IA197"/>
      <c r="IB197"/>
      <c r="IC197"/>
      <c r="ID197"/>
      <c r="IE197"/>
      <c r="IF197"/>
      <c r="IG197"/>
      <c r="IH197"/>
      <c r="II197"/>
      <c r="IJ197"/>
      <c r="IK197"/>
      <c r="IL197"/>
      <c r="IM197"/>
      <c r="IN197"/>
      <c r="IO197"/>
      <c r="IP197"/>
      <c r="IQ197"/>
      <c r="IR197"/>
      <c r="IS197"/>
      <c r="IT197"/>
      <c r="IU197"/>
      <c r="IV197"/>
      <c r="IW197"/>
      <c r="IX197"/>
      <c r="IY197"/>
      <c r="IZ197"/>
      <c r="JA197"/>
      <c r="JB197"/>
      <c r="JC197"/>
      <c r="JD197"/>
      <c r="JE197"/>
      <c r="JF197"/>
      <c r="JG197"/>
      <c r="JH197"/>
      <c r="JI197"/>
      <c r="JJ197"/>
      <c r="JK197"/>
      <c r="JL197"/>
      <c r="JM197"/>
      <c r="JN197"/>
      <c r="JO197"/>
      <c r="JP197"/>
      <c r="JQ197"/>
      <c r="JR197"/>
      <c r="JS197"/>
      <c r="JT197"/>
      <c r="JU197"/>
      <c r="JV197"/>
      <c r="JW197"/>
      <c r="JX197"/>
      <c r="JY197"/>
      <c r="JZ197"/>
      <c r="KA197"/>
      <c r="KB197"/>
      <c r="KC197"/>
      <c r="KD197"/>
      <c r="KE197"/>
      <c r="KF197"/>
      <c r="KG197"/>
      <c r="KH197"/>
      <c r="KI197"/>
      <c r="KJ197"/>
      <c r="KK197"/>
      <c r="KL197"/>
      <c r="KM197"/>
      <c r="KN197"/>
      <c r="KO197"/>
      <c r="KP197"/>
      <c r="KQ197"/>
      <c r="KR197"/>
      <c r="KS197"/>
    </row>
    <row r="198" spans="2:305" hidden="1" x14ac:dyDescent="0.25">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c r="GN198"/>
      <c r="GO198"/>
      <c r="GP198"/>
      <c r="GQ198"/>
      <c r="GR198"/>
      <c r="GS198"/>
      <c r="GT198"/>
      <c r="GU198"/>
      <c r="GV198"/>
      <c r="GW198"/>
      <c r="GX198"/>
      <c r="GY198"/>
      <c r="GZ198"/>
      <c r="HA198"/>
      <c r="HB198"/>
      <c r="HC198"/>
      <c r="HD198"/>
      <c r="HE198"/>
      <c r="HF198"/>
      <c r="HG198"/>
      <c r="HH198"/>
      <c r="HI198"/>
      <c r="HJ198"/>
      <c r="HK198"/>
      <c r="HL198"/>
      <c r="HM198"/>
      <c r="HN198"/>
      <c r="HO198"/>
      <c r="HP198"/>
      <c r="HQ198"/>
      <c r="HR198"/>
      <c r="HS198"/>
      <c r="HT198"/>
      <c r="HU198"/>
      <c r="HV198"/>
      <c r="HW198"/>
      <c r="HX198"/>
      <c r="HY198"/>
      <c r="HZ198"/>
      <c r="IA198"/>
      <c r="IB198"/>
      <c r="IC198"/>
      <c r="ID198"/>
      <c r="IE198"/>
      <c r="IF198"/>
      <c r="IG198"/>
      <c r="IH198"/>
      <c r="II198"/>
      <c r="IJ198"/>
      <c r="IK198"/>
      <c r="IL198"/>
      <c r="IM198"/>
      <c r="IN198"/>
      <c r="IO198"/>
      <c r="IP198"/>
      <c r="IQ198"/>
      <c r="IR198"/>
      <c r="IS198"/>
      <c r="IT198"/>
      <c r="IU198"/>
      <c r="IV198"/>
      <c r="IW198"/>
      <c r="IX198"/>
      <c r="IY198"/>
      <c r="IZ198"/>
      <c r="JA198"/>
      <c r="JB198"/>
      <c r="JC198"/>
      <c r="JD198"/>
      <c r="JE198"/>
      <c r="JF198"/>
      <c r="JG198"/>
      <c r="JH198"/>
      <c r="JI198"/>
      <c r="JJ198"/>
      <c r="JK198"/>
      <c r="JL198"/>
      <c r="JM198"/>
      <c r="JN198"/>
      <c r="JO198"/>
      <c r="JP198"/>
      <c r="JQ198"/>
      <c r="JR198"/>
      <c r="JS198"/>
      <c r="JT198"/>
      <c r="JU198"/>
      <c r="JV198"/>
      <c r="JW198"/>
      <c r="JX198"/>
      <c r="JY198"/>
      <c r="JZ198"/>
      <c r="KA198"/>
      <c r="KB198"/>
      <c r="KC198"/>
      <c r="KD198"/>
      <c r="KE198"/>
      <c r="KF198"/>
      <c r="KG198"/>
      <c r="KH198"/>
      <c r="KI198"/>
      <c r="KJ198"/>
      <c r="KK198"/>
      <c r="KL198"/>
      <c r="KM198"/>
      <c r="KN198"/>
      <c r="KO198"/>
      <c r="KP198"/>
      <c r="KQ198"/>
      <c r="KR198"/>
      <c r="KS198"/>
    </row>
    <row r="199" spans="2:305" hidden="1" x14ac:dyDescent="0.25">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c r="GN199"/>
      <c r="GO199"/>
      <c r="GP199"/>
      <c r="GQ199"/>
      <c r="GR199"/>
      <c r="GS199"/>
      <c r="GT199"/>
      <c r="GU199"/>
      <c r="GV199"/>
      <c r="GW199"/>
      <c r="GX199"/>
      <c r="GY199"/>
      <c r="GZ199"/>
      <c r="HA199"/>
      <c r="HB199"/>
      <c r="HC199"/>
      <c r="HD199"/>
      <c r="HE199"/>
      <c r="HF199"/>
      <c r="HG199"/>
      <c r="HH199"/>
      <c r="HI199"/>
      <c r="HJ199"/>
      <c r="HK199"/>
      <c r="HL199"/>
      <c r="HM199"/>
      <c r="HN199"/>
      <c r="HO199"/>
      <c r="HP199"/>
      <c r="HQ199"/>
      <c r="HR199"/>
      <c r="HS199"/>
      <c r="HT199"/>
      <c r="HU199"/>
      <c r="HV199"/>
      <c r="HW199"/>
      <c r="HX199"/>
      <c r="HY199"/>
      <c r="HZ199"/>
      <c r="IA199"/>
      <c r="IB199"/>
      <c r="IC199"/>
      <c r="ID199"/>
      <c r="IE199"/>
      <c r="IF199"/>
      <c r="IG199"/>
      <c r="IH199"/>
      <c r="II199"/>
      <c r="IJ199"/>
      <c r="IK199"/>
      <c r="IL199"/>
      <c r="IM199"/>
      <c r="IN199"/>
      <c r="IO199"/>
      <c r="IP199"/>
      <c r="IQ199"/>
      <c r="IR199"/>
      <c r="IS199"/>
      <c r="IT199"/>
      <c r="IU199"/>
      <c r="IV199"/>
      <c r="IW199"/>
      <c r="IX199"/>
      <c r="IY199"/>
      <c r="IZ199"/>
      <c r="JA199"/>
      <c r="JB199"/>
      <c r="JC199"/>
      <c r="JD199"/>
      <c r="JE199"/>
      <c r="JF199"/>
      <c r="JG199"/>
      <c r="JH199"/>
      <c r="JI199"/>
      <c r="JJ199"/>
      <c r="JK199"/>
      <c r="JL199"/>
      <c r="JM199"/>
      <c r="JN199"/>
      <c r="JO199"/>
      <c r="JP199"/>
      <c r="JQ199"/>
      <c r="JR199"/>
      <c r="JS199"/>
      <c r="JT199"/>
      <c r="JU199"/>
      <c r="JV199"/>
      <c r="JW199"/>
      <c r="JX199"/>
      <c r="JY199"/>
      <c r="JZ199"/>
      <c r="KA199"/>
      <c r="KB199"/>
      <c r="KC199"/>
      <c r="KD199"/>
      <c r="KE199"/>
      <c r="KF199"/>
      <c r="KG199"/>
      <c r="KH199"/>
      <c r="KI199"/>
      <c r="KJ199"/>
      <c r="KK199"/>
      <c r="KL199"/>
      <c r="KM199"/>
      <c r="KN199"/>
      <c r="KO199"/>
      <c r="KP199"/>
      <c r="KQ199"/>
      <c r="KR199"/>
      <c r="KS199"/>
    </row>
    <row r="200" spans="2:305" hidden="1" x14ac:dyDescent="0.25">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c r="GN200"/>
      <c r="GO200"/>
      <c r="GP200"/>
      <c r="GQ200"/>
      <c r="GR200"/>
      <c r="GS200"/>
      <c r="GT200"/>
      <c r="GU200"/>
      <c r="GV200"/>
      <c r="GW200"/>
      <c r="GX200"/>
      <c r="GY200"/>
      <c r="GZ200"/>
      <c r="HA200"/>
      <c r="HB200"/>
      <c r="HC200"/>
      <c r="HD200"/>
      <c r="HE200"/>
      <c r="HF200"/>
      <c r="HG200"/>
      <c r="HH200"/>
      <c r="HI200"/>
      <c r="HJ200"/>
      <c r="HK200"/>
      <c r="HL200"/>
      <c r="HM200"/>
      <c r="HN200"/>
      <c r="HO200"/>
      <c r="HP200"/>
      <c r="HQ200"/>
      <c r="HR200"/>
      <c r="HS200"/>
      <c r="HT200"/>
      <c r="HU200"/>
      <c r="HV200"/>
      <c r="HW200"/>
      <c r="HX200"/>
      <c r="HY200"/>
      <c r="HZ200"/>
      <c r="IA200"/>
      <c r="IB200"/>
      <c r="IC200"/>
      <c r="ID200"/>
      <c r="IE200"/>
      <c r="IF200"/>
      <c r="IG200"/>
      <c r="IH200"/>
      <c r="II200"/>
      <c r="IJ200"/>
      <c r="IK200"/>
      <c r="IL200"/>
      <c r="IM200"/>
      <c r="IN200"/>
      <c r="IO200"/>
      <c r="IP200"/>
      <c r="IQ200"/>
      <c r="IR200"/>
      <c r="IS200"/>
      <c r="IT200"/>
      <c r="IU200"/>
      <c r="IV200"/>
      <c r="IW200"/>
      <c r="IX200"/>
      <c r="IY200"/>
      <c r="IZ200"/>
      <c r="JA200"/>
      <c r="JB200"/>
      <c r="JC200"/>
      <c r="JD200"/>
      <c r="JE200"/>
      <c r="JF200"/>
      <c r="JG200"/>
      <c r="JH200"/>
      <c r="JI200"/>
      <c r="JJ200"/>
      <c r="JK200"/>
      <c r="JL200"/>
      <c r="JM200"/>
      <c r="JN200"/>
      <c r="JO200"/>
      <c r="JP200"/>
      <c r="JQ200"/>
      <c r="JR200"/>
      <c r="JS200"/>
      <c r="JT200"/>
      <c r="JU200"/>
      <c r="JV200"/>
      <c r="JW200"/>
      <c r="JX200"/>
      <c r="JY200"/>
      <c r="JZ200"/>
      <c r="KA200"/>
      <c r="KB200"/>
      <c r="KC200"/>
      <c r="KD200"/>
      <c r="KE200"/>
      <c r="KF200"/>
      <c r="KG200"/>
      <c r="KH200"/>
      <c r="KI200"/>
      <c r="KJ200"/>
      <c r="KK200"/>
      <c r="KL200"/>
      <c r="KM200"/>
      <c r="KN200"/>
      <c r="KO200"/>
      <c r="KP200"/>
      <c r="KQ200"/>
      <c r="KR200"/>
      <c r="KS200"/>
    </row>
    <row r="201" spans="2:305" hidden="1" x14ac:dyDescent="0.25">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c r="GN201"/>
      <c r="GO201"/>
      <c r="GP201"/>
      <c r="GQ201"/>
      <c r="GR201"/>
      <c r="GS201"/>
      <c r="GT201"/>
      <c r="GU201"/>
      <c r="GV201"/>
      <c r="GW201"/>
      <c r="GX201"/>
      <c r="GY201"/>
      <c r="GZ201"/>
      <c r="HA201"/>
      <c r="HB201"/>
      <c r="HC201"/>
      <c r="HD201"/>
      <c r="HE201"/>
      <c r="HF201"/>
      <c r="HG201"/>
      <c r="HH201"/>
      <c r="HI201"/>
      <c r="HJ201"/>
      <c r="HK201"/>
      <c r="HL201"/>
      <c r="HM201"/>
      <c r="HN201"/>
      <c r="HO201"/>
      <c r="HP201"/>
      <c r="HQ201"/>
      <c r="HR201"/>
      <c r="HS201"/>
      <c r="HT201"/>
      <c r="HU201"/>
      <c r="HV201"/>
      <c r="HW201"/>
      <c r="HX201"/>
      <c r="HY201"/>
      <c r="HZ201"/>
      <c r="IA201"/>
      <c r="IB201"/>
      <c r="IC201"/>
      <c r="ID201"/>
      <c r="IE201"/>
      <c r="IF201"/>
      <c r="IG201"/>
      <c r="IH201"/>
      <c r="II201"/>
      <c r="IJ201"/>
      <c r="IK201"/>
      <c r="IL201"/>
      <c r="IM201"/>
      <c r="IN201"/>
      <c r="IO201"/>
      <c r="IP201"/>
      <c r="IQ201"/>
      <c r="IR201"/>
      <c r="IS201"/>
      <c r="IT201"/>
      <c r="IU201"/>
      <c r="IV201"/>
      <c r="IW201"/>
      <c r="IX201"/>
      <c r="IY201"/>
      <c r="IZ201"/>
      <c r="JA201"/>
      <c r="JB201"/>
      <c r="JC201"/>
      <c r="JD201"/>
      <c r="JE201"/>
      <c r="JF201"/>
      <c r="JG201"/>
      <c r="JH201"/>
      <c r="JI201"/>
      <c r="JJ201"/>
      <c r="JK201"/>
      <c r="JL201"/>
      <c r="JM201"/>
      <c r="JN201"/>
      <c r="JO201"/>
      <c r="JP201"/>
      <c r="JQ201"/>
      <c r="JR201"/>
      <c r="JS201"/>
      <c r="JT201"/>
      <c r="JU201"/>
      <c r="JV201"/>
      <c r="JW201"/>
      <c r="JX201"/>
      <c r="JY201"/>
      <c r="JZ201"/>
      <c r="KA201"/>
      <c r="KB201"/>
      <c r="KC201"/>
      <c r="KD201"/>
      <c r="KE201"/>
      <c r="KF201"/>
      <c r="KG201"/>
      <c r="KH201"/>
      <c r="KI201"/>
      <c r="KJ201"/>
      <c r="KK201"/>
      <c r="KL201"/>
      <c r="KM201"/>
      <c r="KN201"/>
      <c r="KO201"/>
      <c r="KP201"/>
      <c r="KQ201"/>
      <c r="KR201"/>
      <c r="KS201"/>
    </row>
    <row r="202" spans="2:305" hidden="1" x14ac:dyDescent="0.25">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c r="GN202"/>
      <c r="GO202"/>
      <c r="GP202"/>
      <c r="GQ202"/>
      <c r="GR202"/>
      <c r="GS202"/>
      <c r="GT202"/>
      <c r="GU202"/>
      <c r="GV202"/>
      <c r="GW202"/>
      <c r="GX202"/>
      <c r="GY202"/>
      <c r="GZ202"/>
      <c r="HA202"/>
      <c r="HB202"/>
      <c r="HC202"/>
      <c r="HD202"/>
      <c r="HE202"/>
      <c r="HF202"/>
      <c r="HG202"/>
      <c r="HH202"/>
      <c r="HI202"/>
      <c r="HJ202"/>
      <c r="HK202"/>
      <c r="HL202"/>
      <c r="HM202"/>
      <c r="HN202"/>
      <c r="HO202"/>
      <c r="HP202"/>
      <c r="HQ202"/>
      <c r="HR202"/>
      <c r="HS202"/>
      <c r="HT202"/>
      <c r="HU202"/>
      <c r="HV202"/>
      <c r="HW202"/>
      <c r="HX202"/>
      <c r="HY202"/>
      <c r="HZ202"/>
      <c r="IA202"/>
      <c r="IB202"/>
      <c r="IC202"/>
      <c r="ID202"/>
      <c r="IE202"/>
      <c r="IF202"/>
      <c r="IG202"/>
      <c r="IH202"/>
      <c r="II202"/>
      <c r="IJ202"/>
      <c r="IK202"/>
      <c r="IL202"/>
      <c r="IM202"/>
      <c r="IN202"/>
      <c r="IO202"/>
      <c r="IP202"/>
      <c r="IQ202"/>
      <c r="IR202"/>
      <c r="IS202"/>
      <c r="IT202"/>
      <c r="IU202"/>
      <c r="IV202"/>
      <c r="IW202"/>
      <c r="IX202"/>
      <c r="IY202"/>
      <c r="IZ202"/>
      <c r="JA202"/>
      <c r="JB202"/>
      <c r="JC202"/>
      <c r="JD202"/>
      <c r="JE202"/>
      <c r="JF202"/>
      <c r="JG202"/>
      <c r="JH202"/>
      <c r="JI202"/>
      <c r="JJ202"/>
      <c r="JK202"/>
      <c r="JL202"/>
      <c r="JM202"/>
      <c r="JN202"/>
      <c r="JO202"/>
      <c r="JP202"/>
      <c r="JQ202"/>
      <c r="JR202"/>
      <c r="JS202"/>
      <c r="JT202"/>
      <c r="JU202"/>
      <c r="JV202"/>
      <c r="JW202"/>
      <c r="JX202"/>
      <c r="JY202"/>
      <c r="JZ202"/>
      <c r="KA202"/>
      <c r="KB202"/>
      <c r="KC202"/>
      <c r="KD202"/>
      <c r="KE202"/>
      <c r="KF202"/>
      <c r="KG202"/>
      <c r="KH202"/>
      <c r="KI202"/>
      <c r="KJ202"/>
      <c r="KK202"/>
      <c r="KL202"/>
      <c r="KM202"/>
      <c r="KN202"/>
      <c r="KO202"/>
      <c r="KP202"/>
      <c r="KQ202"/>
      <c r="KR202"/>
      <c r="KS202"/>
    </row>
    <row r="203" spans="2:305" hidden="1" x14ac:dyDescent="0.25">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c r="GN203"/>
      <c r="GO203"/>
      <c r="GP203"/>
      <c r="GQ203"/>
      <c r="GR203"/>
      <c r="GS203"/>
      <c r="GT203"/>
      <c r="GU203"/>
      <c r="GV203"/>
      <c r="GW203"/>
      <c r="GX203"/>
      <c r="GY203"/>
      <c r="GZ203"/>
      <c r="HA203"/>
      <c r="HB203"/>
      <c r="HC203"/>
      <c r="HD203"/>
      <c r="HE203"/>
      <c r="HF203"/>
      <c r="HG203"/>
      <c r="HH203"/>
      <c r="HI203"/>
      <c r="HJ203"/>
      <c r="HK203"/>
      <c r="HL203"/>
      <c r="HM203"/>
      <c r="HN203"/>
      <c r="HO203"/>
      <c r="HP203"/>
      <c r="HQ203"/>
      <c r="HR203"/>
      <c r="HS203"/>
      <c r="HT203"/>
      <c r="HU203"/>
      <c r="HV203"/>
      <c r="HW203"/>
      <c r="HX203"/>
      <c r="HY203"/>
      <c r="HZ203"/>
      <c r="IA203"/>
      <c r="IB203"/>
      <c r="IC203"/>
      <c r="ID203"/>
      <c r="IE203"/>
      <c r="IF203"/>
      <c r="IG203"/>
      <c r="IH203"/>
      <c r="II203"/>
      <c r="IJ203"/>
      <c r="IK203"/>
      <c r="IL203"/>
      <c r="IM203"/>
      <c r="IN203"/>
      <c r="IO203"/>
      <c r="IP203"/>
      <c r="IQ203"/>
      <c r="IR203"/>
      <c r="IS203"/>
      <c r="IT203"/>
      <c r="IU203"/>
      <c r="IV203"/>
      <c r="IW203"/>
      <c r="IX203"/>
      <c r="IY203"/>
      <c r="IZ203"/>
      <c r="JA203"/>
      <c r="JB203"/>
      <c r="JC203"/>
      <c r="JD203"/>
      <c r="JE203"/>
      <c r="JF203"/>
      <c r="JG203"/>
      <c r="JH203"/>
      <c r="JI203"/>
      <c r="JJ203"/>
      <c r="JK203"/>
      <c r="JL203"/>
      <c r="JM203"/>
      <c r="JN203"/>
      <c r="JO203"/>
      <c r="JP203"/>
      <c r="JQ203"/>
      <c r="JR203"/>
      <c r="JS203"/>
      <c r="JT203"/>
      <c r="JU203"/>
      <c r="JV203"/>
      <c r="JW203"/>
      <c r="JX203"/>
      <c r="JY203"/>
      <c r="JZ203"/>
      <c r="KA203"/>
      <c r="KB203"/>
      <c r="KC203"/>
      <c r="KD203"/>
      <c r="KE203"/>
      <c r="KF203"/>
      <c r="KG203"/>
      <c r="KH203"/>
      <c r="KI203"/>
      <c r="KJ203"/>
      <c r="KK203"/>
      <c r="KL203"/>
      <c r="KM203"/>
      <c r="KN203"/>
      <c r="KO203"/>
      <c r="KP203"/>
      <c r="KQ203"/>
      <c r="KR203"/>
      <c r="KS203"/>
    </row>
    <row r="204" spans="2:305" hidden="1" x14ac:dyDescent="0.25">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c r="GN204"/>
      <c r="GO204"/>
      <c r="GP204"/>
      <c r="GQ204"/>
      <c r="GR204"/>
      <c r="GS204"/>
      <c r="GT204"/>
      <c r="GU204"/>
      <c r="GV204"/>
      <c r="GW204"/>
      <c r="GX204"/>
      <c r="GY204"/>
      <c r="GZ204"/>
      <c r="HA204"/>
      <c r="HB204"/>
      <c r="HC204"/>
      <c r="HD204"/>
      <c r="HE204"/>
      <c r="HF204"/>
      <c r="HG204"/>
      <c r="HH204"/>
      <c r="HI204"/>
      <c r="HJ204"/>
      <c r="HK204"/>
      <c r="HL204"/>
      <c r="HM204"/>
      <c r="HN204"/>
      <c r="HO204"/>
      <c r="HP204"/>
      <c r="HQ204"/>
      <c r="HR204"/>
      <c r="HS204"/>
      <c r="HT204"/>
      <c r="HU204"/>
      <c r="HV204"/>
      <c r="HW204"/>
      <c r="HX204"/>
      <c r="HY204"/>
      <c r="HZ204"/>
      <c r="IA204"/>
      <c r="IB204"/>
      <c r="IC204"/>
      <c r="ID204"/>
      <c r="IE204"/>
      <c r="IF204"/>
      <c r="IG204"/>
      <c r="IH204"/>
      <c r="II204"/>
      <c r="IJ204"/>
      <c r="IK204"/>
      <c r="IL204"/>
      <c r="IM204"/>
      <c r="IN204"/>
      <c r="IO204"/>
      <c r="IP204"/>
      <c r="IQ204"/>
      <c r="IR204"/>
      <c r="IS204"/>
      <c r="IT204"/>
      <c r="IU204"/>
      <c r="IV204"/>
      <c r="IW204"/>
      <c r="IX204"/>
      <c r="IY204"/>
      <c r="IZ204"/>
      <c r="JA204"/>
      <c r="JB204"/>
      <c r="JC204"/>
      <c r="JD204"/>
      <c r="JE204"/>
      <c r="JF204"/>
      <c r="JG204"/>
      <c r="JH204"/>
      <c r="JI204"/>
      <c r="JJ204"/>
      <c r="JK204"/>
      <c r="JL204"/>
      <c r="JM204"/>
      <c r="JN204"/>
      <c r="JO204"/>
      <c r="JP204"/>
      <c r="JQ204"/>
      <c r="JR204"/>
      <c r="JS204"/>
      <c r="JT204"/>
      <c r="JU204"/>
      <c r="JV204"/>
      <c r="JW204"/>
      <c r="JX204"/>
      <c r="JY204"/>
      <c r="JZ204"/>
      <c r="KA204"/>
      <c r="KB204"/>
      <c r="KC204"/>
      <c r="KD204"/>
      <c r="KE204"/>
      <c r="KF204"/>
      <c r="KG204"/>
      <c r="KH204"/>
      <c r="KI204"/>
      <c r="KJ204"/>
      <c r="KK204"/>
      <c r="KL204"/>
      <c r="KM204"/>
      <c r="KN204"/>
      <c r="KO204"/>
      <c r="KP204"/>
      <c r="KQ204"/>
      <c r="KR204"/>
      <c r="KS204"/>
    </row>
    <row r="205" spans="2:305" hidden="1" x14ac:dyDescent="0.2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c r="GN205"/>
      <c r="GO205"/>
      <c r="GP205"/>
      <c r="GQ205"/>
      <c r="GR205"/>
      <c r="GS205"/>
      <c r="GT205"/>
      <c r="GU205"/>
      <c r="GV205"/>
      <c r="GW205"/>
      <c r="GX205"/>
      <c r="GY205"/>
      <c r="GZ205"/>
      <c r="HA205"/>
      <c r="HB205"/>
      <c r="HC205"/>
      <c r="HD205"/>
      <c r="HE205"/>
      <c r="HF205"/>
      <c r="HG205"/>
      <c r="HH205"/>
      <c r="HI205"/>
      <c r="HJ205"/>
      <c r="HK205"/>
      <c r="HL205"/>
      <c r="HM205"/>
      <c r="HN205"/>
      <c r="HO205"/>
      <c r="HP205"/>
      <c r="HQ205"/>
      <c r="HR205"/>
      <c r="HS205"/>
      <c r="HT205"/>
      <c r="HU205"/>
      <c r="HV205"/>
      <c r="HW205"/>
      <c r="HX205"/>
      <c r="HY205"/>
      <c r="HZ205"/>
      <c r="IA205"/>
      <c r="IB205"/>
      <c r="IC205"/>
      <c r="ID205"/>
      <c r="IE205"/>
      <c r="IF205"/>
      <c r="IG205"/>
      <c r="IH205"/>
      <c r="II205"/>
      <c r="IJ205"/>
      <c r="IK205"/>
      <c r="IL205"/>
      <c r="IM205"/>
      <c r="IN205"/>
      <c r="IO205"/>
      <c r="IP205"/>
      <c r="IQ205"/>
      <c r="IR205"/>
      <c r="IS205"/>
      <c r="IT205"/>
      <c r="IU205"/>
      <c r="IV205"/>
      <c r="IW205"/>
      <c r="IX205"/>
      <c r="IY205"/>
      <c r="IZ205"/>
      <c r="JA205"/>
      <c r="JB205"/>
      <c r="JC205"/>
      <c r="JD205"/>
      <c r="JE205"/>
      <c r="JF205"/>
      <c r="JG205"/>
      <c r="JH205"/>
      <c r="JI205"/>
      <c r="JJ205"/>
      <c r="JK205"/>
      <c r="JL205"/>
      <c r="JM205"/>
      <c r="JN205"/>
      <c r="JO205"/>
      <c r="JP205"/>
      <c r="JQ205"/>
      <c r="JR205"/>
      <c r="JS205"/>
      <c r="JT205"/>
      <c r="JU205"/>
      <c r="JV205"/>
      <c r="JW205"/>
      <c r="JX205"/>
      <c r="JY205"/>
      <c r="JZ205"/>
      <c r="KA205"/>
      <c r="KB205"/>
      <c r="KC205"/>
      <c r="KD205"/>
      <c r="KE205"/>
      <c r="KF205"/>
      <c r="KG205"/>
      <c r="KH205"/>
      <c r="KI205"/>
      <c r="KJ205"/>
      <c r="KK205"/>
      <c r="KL205"/>
      <c r="KM205"/>
      <c r="KN205"/>
      <c r="KO205"/>
      <c r="KP205"/>
      <c r="KQ205"/>
      <c r="KR205"/>
      <c r="KS205"/>
    </row>
    <row r="206" spans="2:305" hidden="1" x14ac:dyDescent="0.25">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c r="GN206"/>
      <c r="GO206"/>
      <c r="GP206"/>
      <c r="GQ206"/>
      <c r="GR206"/>
      <c r="GS206"/>
      <c r="GT206"/>
      <c r="GU206"/>
      <c r="GV206"/>
      <c r="GW206"/>
      <c r="GX206"/>
      <c r="GY206"/>
      <c r="GZ206"/>
      <c r="HA206"/>
      <c r="HB206"/>
      <c r="HC206"/>
      <c r="HD206"/>
      <c r="HE206"/>
      <c r="HF206"/>
      <c r="HG206"/>
      <c r="HH206"/>
      <c r="HI206"/>
      <c r="HJ206"/>
      <c r="HK206"/>
      <c r="HL206"/>
      <c r="HM206"/>
      <c r="HN206"/>
      <c r="HO206"/>
      <c r="HP206"/>
      <c r="HQ206"/>
      <c r="HR206"/>
      <c r="HS206"/>
      <c r="HT206"/>
      <c r="HU206"/>
      <c r="HV206"/>
      <c r="HW206"/>
      <c r="HX206"/>
      <c r="HY206"/>
      <c r="HZ206"/>
      <c r="IA206"/>
      <c r="IB206"/>
      <c r="IC206"/>
      <c r="ID206"/>
      <c r="IE206"/>
      <c r="IF206"/>
      <c r="IG206"/>
      <c r="IH206"/>
      <c r="II206"/>
      <c r="IJ206"/>
      <c r="IK206"/>
      <c r="IL206"/>
      <c r="IM206"/>
      <c r="IN206"/>
      <c r="IO206"/>
      <c r="IP206"/>
      <c r="IQ206"/>
      <c r="IR206"/>
      <c r="IS206"/>
      <c r="IT206"/>
      <c r="IU206"/>
      <c r="IV206"/>
      <c r="IW206"/>
      <c r="IX206"/>
      <c r="IY206"/>
      <c r="IZ206"/>
      <c r="JA206"/>
      <c r="JB206"/>
      <c r="JC206"/>
      <c r="JD206"/>
      <c r="JE206"/>
      <c r="JF206"/>
      <c r="JG206"/>
      <c r="JH206"/>
      <c r="JI206"/>
      <c r="JJ206"/>
      <c r="JK206"/>
      <c r="JL206"/>
      <c r="JM206"/>
      <c r="JN206"/>
      <c r="JO206"/>
      <c r="JP206"/>
      <c r="JQ206"/>
      <c r="JR206"/>
      <c r="JS206"/>
      <c r="JT206"/>
      <c r="JU206"/>
      <c r="JV206"/>
      <c r="JW206"/>
      <c r="JX206"/>
      <c r="JY206"/>
      <c r="JZ206"/>
      <c r="KA206"/>
      <c r="KB206"/>
      <c r="KC206"/>
      <c r="KD206"/>
      <c r="KE206"/>
      <c r="KF206"/>
      <c r="KG206"/>
      <c r="KH206"/>
      <c r="KI206"/>
      <c r="KJ206"/>
      <c r="KK206"/>
      <c r="KL206"/>
      <c r="KM206"/>
      <c r="KN206"/>
      <c r="KO206"/>
      <c r="KP206"/>
      <c r="KQ206"/>
      <c r="KR206"/>
      <c r="KS206"/>
    </row>
    <row r="207" spans="2:305" hidden="1" x14ac:dyDescent="0.25">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c r="GN207"/>
      <c r="GO207"/>
      <c r="GP207"/>
      <c r="GQ207"/>
      <c r="GR207"/>
      <c r="GS207"/>
      <c r="GT207"/>
      <c r="GU207"/>
      <c r="GV207"/>
      <c r="GW207"/>
      <c r="GX207"/>
      <c r="GY207"/>
      <c r="GZ207"/>
      <c r="HA207"/>
      <c r="HB207"/>
      <c r="HC207"/>
      <c r="HD207"/>
      <c r="HE207"/>
      <c r="HF207"/>
      <c r="HG207"/>
      <c r="HH207"/>
      <c r="HI207"/>
      <c r="HJ207"/>
      <c r="HK207"/>
      <c r="HL207"/>
      <c r="HM207"/>
      <c r="HN207"/>
      <c r="HO207"/>
      <c r="HP207"/>
      <c r="HQ207"/>
      <c r="HR207"/>
      <c r="HS207"/>
      <c r="HT207"/>
      <c r="HU207"/>
      <c r="HV207"/>
      <c r="HW207"/>
      <c r="HX207"/>
      <c r="HY207"/>
      <c r="HZ207"/>
      <c r="IA207"/>
      <c r="IB207"/>
      <c r="IC207"/>
      <c r="ID207"/>
      <c r="IE207"/>
      <c r="IF207"/>
      <c r="IG207"/>
      <c r="IH207"/>
      <c r="II207"/>
      <c r="IJ207"/>
      <c r="IK207"/>
      <c r="IL207"/>
      <c r="IM207"/>
      <c r="IN207"/>
      <c r="IO207"/>
      <c r="IP207"/>
      <c r="IQ207"/>
      <c r="IR207"/>
      <c r="IS207"/>
      <c r="IT207"/>
      <c r="IU207"/>
      <c r="IV207"/>
      <c r="IW207"/>
      <c r="IX207"/>
      <c r="IY207"/>
      <c r="IZ207"/>
      <c r="JA207"/>
      <c r="JB207"/>
      <c r="JC207"/>
      <c r="JD207"/>
      <c r="JE207"/>
      <c r="JF207"/>
      <c r="JG207"/>
      <c r="JH207"/>
      <c r="JI207"/>
      <c r="JJ207"/>
      <c r="JK207"/>
      <c r="JL207"/>
      <c r="JM207"/>
      <c r="JN207"/>
      <c r="JO207"/>
      <c r="JP207"/>
      <c r="JQ207"/>
      <c r="JR207"/>
      <c r="JS207"/>
      <c r="JT207"/>
      <c r="JU207"/>
      <c r="JV207"/>
      <c r="JW207"/>
      <c r="JX207"/>
      <c r="JY207"/>
      <c r="JZ207"/>
      <c r="KA207"/>
      <c r="KB207"/>
      <c r="KC207"/>
      <c r="KD207"/>
      <c r="KE207"/>
      <c r="KF207"/>
      <c r="KG207"/>
      <c r="KH207"/>
      <c r="KI207"/>
      <c r="KJ207"/>
      <c r="KK207"/>
      <c r="KL207"/>
      <c r="KM207"/>
      <c r="KN207"/>
      <c r="KO207"/>
      <c r="KP207"/>
      <c r="KQ207"/>
      <c r="KR207"/>
      <c r="KS207"/>
    </row>
    <row r="208" spans="2:305" hidden="1" x14ac:dyDescent="0.25">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c r="GN208"/>
      <c r="GO208"/>
      <c r="GP208"/>
      <c r="GQ208"/>
      <c r="GR208"/>
      <c r="GS208"/>
      <c r="GT208"/>
      <c r="GU208"/>
      <c r="GV208"/>
      <c r="GW208"/>
      <c r="GX208"/>
      <c r="GY208"/>
      <c r="GZ208"/>
      <c r="HA208"/>
      <c r="HB208"/>
      <c r="HC208"/>
      <c r="HD208"/>
      <c r="HE208"/>
      <c r="HF208"/>
      <c r="HG208"/>
      <c r="HH208"/>
      <c r="HI208"/>
      <c r="HJ208"/>
      <c r="HK208"/>
      <c r="HL208"/>
      <c r="HM208"/>
      <c r="HN208"/>
      <c r="HO208"/>
      <c r="HP208"/>
      <c r="HQ208"/>
      <c r="HR208"/>
      <c r="HS208"/>
      <c r="HT208"/>
      <c r="HU208"/>
      <c r="HV208"/>
      <c r="HW208"/>
      <c r="HX208"/>
      <c r="HY208"/>
      <c r="HZ208"/>
      <c r="IA208"/>
      <c r="IB208"/>
      <c r="IC208"/>
      <c r="ID208"/>
      <c r="IE208"/>
      <c r="IF208"/>
      <c r="IG208"/>
      <c r="IH208"/>
      <c r="II208"/>
      <c r="IJ208"/>
      <c r="IK208"/>
      <c r="IL208"/>
      <c r="IM208"/>
      <c r="IN208"/>
      <c r="IO208"/>
      <c r="IP208"/>
      <c r="IQ208"/>
      <c r="IR208"/>
      <c r="IS208"/>
      <c r="IT208"/>
      <c r="IU208"/>
      <c r="IV208"/>
      <c r="IW208"/>
      <c r="IX208"/>
      <c r="IY208"/>
      <c r="IZ208"/>
      <c r="JA208"/>
      <c r="JB208"/>
      <c r="JC208"/>
      <c r="JD208"/>
      <c r="JE208"/>
      <c r="JF208"/>
      <c r="JG208"/>
      <c r="JH208"/>
      <c r="JI208"/>
      <c r="JJ208"/>
      <c r="JK208"/>
      <c r="JL208"/>
      <c r="JM208"/>
      <c r="JN208"/>
      <c r="JO208"/>
      <c r="JP208"/>
      <c r="JQ208"/>
      <c r="JR208"/>
      <c r="JS208"/>
      <c r="JT208"/>
      <c r="JU208"/>
      <c r="JV208"/>
      <c r="JW208"/>
      <c r="JX208"/>
      <c r="JY208"/>
      <c r="JZ208"/>
      <c r="KA208"/>
      <c r="KB208"/>
      <c r="KC208"/>
      <c r="KD208"/>
      <c r="KE208"/>
      <c r="KF208"/>
      <c r="KG208"/>
      <c r="KH208"/>
      <c r="KI208"/>
      <c r="KJ208"/>
      <c r="KK208"/>
      <c r="KL208"/>
      <c r="KM208"/>
      <c r="KN208"/>
      <c r="KO208"/>
      <c r="KP208"/>
      <c r="KQ208"/>
      <c r="KR208"/>
      <c r="KS208"/>
    </row>
    <row r="209" spans="2:305" hidden="1" x14ac:dyDescent="0.25">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c r="GN209"/>
      <c r="GO209"/>
      <c r="GP209"/>
      <c r="GQ209"/>
      <c r="GR209"/>
      <c r="GS209"/>
      <c r="GT209"/>
      <c r="GU209"/>
      <c r="GV209"/>
      <c r="GW209"/>
      <c r="GX209"/>
      <c r="GY209"/>
      <c r="GZ209"/>
      <c r="HA209"/>
      <c r="HB209"/>
      <c r="HC209"/>
      <c r="HD209"/>
      <c r="HE209"/>
      <c r="HF209"/>
      <c r="HG209"/>
      <c r="HH209"/>
      <c r="HI209"/>
      <c r="HJ209"/>
      <c r="HK209"/>
      <c r="HL209"/>
      <c r="HM209"/>
      <c r="HN209"/>
      <c r="HO209"/>
      <c r="HP209"/>
      <c r="HQ209"/>
      <c r="HR209"/>
      <c r="HS209"/>
      <c r="HT209"/>
      <c r="HU209"/>
      <c r="HV209"/>
      <c r="HW209"/>
      <c r="HX209"/>
      <c r="HY209"/>
      <c r="HZ209"/>
      <c r="IA209"/>
      <c r="IB209"/>
      <c r="IC209"/>
      <c r="ID209"/>
      <c r="IE209"/>
      <c r="IF209"/>
      <c r="IG209"/>
      <c r="IH209"/>
      <c r="II209"/>
      <c r="IJ209"/>
      <c r="IK209"/>
      <c r="IL209"/>
      <c r="IM209"/>
      <c r="IN209"/>
      <c r="IO209"/>
      <c r="IP209"/>
      <c r="IQ209"/>
      <c r="IR209"/>
      <c r="IS209"/>
      <c r="IT209"/>
      <c r="IU209"/>
      <c r="IV209"/>
      <c r="IW209"/>
      <c r="IX209"/>
      <c r="IY209"/>
      <c r="IZ209"/>
      <c r="JA209"/>
      <c r="JB209"/>
      <c r="JC209"/>
      <c r="JD209"/>
      <c r="JE209"/>
      <c r="JF209"/>
      <c r="JG209"/>
      <c r="JH209"/>
      <c r="JI209"/>
      <c r="JJ209"/>
      <c r="JK209"/>
      <c r="JL209"/>
      <c r="JM209"/>
      <c r="JN209"/>
      <c r="JO209"/>
      <c r="JP209"/>
      <c r="JQ209"/>
      <c r="JR209"/>
      <c r="JS209"/>
      <c r="JT209"/>
      <c r="JU209"/>
      <c r="JV209"/>
      <c r="JW209"/>
      <c r="JX209"/>
      <c r="JY209"/>
      <c r="JZ209"/>
      <c r="KA209"/>
      <c r="KB209"/>
      <c r="KC209"/>
      <c r="KD209"/>
      <c r="KE209"/>
      <c r="KF209"/>
      <c r="KG209"/>
      <c r="KH209"/>
      <c r="KI209"/>
      <c r="KJ209"/>
      <c r="KK209"/>
      <c r="KL209"/>
      <c r="KM209"/>
      <c r="KN209"/>
      <c r="KO209"/>
      <c r="KP209"/>
      <c r="KQ209"/>
      <c r="KR209"/>
      <c r="KS209"/>
    </row>
    <row r="210" spans="2:305" hidden="1" x14ac:dyDescent="0.25">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c r="GN210"/>
      <c r="GO210"/>
      <c r="GP210"/>
      <c r="GQ210"/>
      <c r="GR210"/>
      <c r="GS210"/>
      <c r="GT210"/>
      <c r="GU210"/>
      <c r="GV210"/>
      <c r="GW210"/>
      <c r="GX210"/>
      <c r="GY210"/>
      <c r="GZ210"/>
      <c r="HA210"/>
      <c r="HB210"/>
      <c r="HC210"/>
      <c r="HD210"/>
      <c r="HE210"/>
      <c r="HF210"/>
      <c r="HG210"/>
      <c r="HH210"/>
      <c r="HI210"/>
      <c r="HJ210"/>
      <c r="HK210"/>
      <c r="HL210"/>
      <c r="HM210"/>
      <c r="HN210"/>
      <c r="HO210"/>
      <c r="HP210"/>
      <c r="HQ210"/>
      <c r="HR210"/>
      <c r="HS210"/>
      <c r="HT210"/>
      <c r="HU210"/>
      <c r="HV210"/>
      <c r="HW210"/>
      <c r="HX210"/>
      <c r="HY210"/>
      <c r="HZ210"/>
      <c r="IA210"/>
      <c r="IB210"/>
      <c r="IC210"/>
      <c r="ID210"/>
      <c r="IE210"/>
      <c r="IF210"/>
      <c r="IG210"/>
      <c r="IH210"/>
      <c r="II210"/>
      <c r="IJ210"/>
      <c r="IK210"/>
      <c r="IL210"/>
      <c r="IM210"/>
      <c r="IN210"/>
      <c r="IO210"/>
      <c r="IP210"/>
      <c r="IQ210"/>
      <c r="IR210"/>
      <c r="IS210"/>
      <c r="IT210"/>
      <c r="IU210"/>
      <c r="IV210"/>
      <c r="IW210"/>
      <c r="IX210"/>
      <c r="IY210"/>
      <c r="IZ210"/>
      <c r="JA210"/>
      <c r="JB210"/>
      <c r="JC210"/>
      <c r="JD210"/>
      <c r="JE210"/>
      <c r="JF210"/>
      <c r="JG210"/>
      <c r="JH210"/>
      <c r="JI210"/>
      <c r="JJ210"/>
      <c r="JK210"/>
      <c r="JL210"/>
      <c r="JM210"/>
      <c r="JN210"/>
      <c r="JO210"/>
      <c r="JP210"/>
      <c r="JQ210"/>
      <c r="JR210"/>
      <c r="JS210"/>
      <c r="JT210"/>
      <c r="JU210"/>
      <c r="JV210"/>
      <c r="JW210"/>
      <c r="JX210"/>
      <c r="JY210"/>
      <c r="JZ210"/>
      <c r="KA210"/>
      <c r="KB210"/>
      <c r="KC210"/>
      <c r="KD210"/>
      <c r="KE210"/>
      <c r="KF210"/>
      <c r="KG210"/>
      <c r="KH210"/>
      <c r="KI210"/>
      <c r="KJ210"/>
      <c r="KK210"/>
      <c r="KL210"/>
      <c r="KM210"/>
      <c r="KN210"/>
      <c r="KO210"/>
      <c r="KP210"/>
      <c r="KQ210"/>
      <c r="KR210"/>
      <c r="KS210"/>
    </row>
    <row r="211" spans="2:305" hidden="1" x14ac:dyDescent="0.25">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c r="GN211"/>
      <c r="GO211"/>
      <c r="GP211"/>
      <c r="GQ211"/>
      <c r="GR211"/>
      <c r="GS211"/>
      <c r="GT211"/>
      <c r="GU211"/>
      <c r="GV211"/>
      <c r="GW211"/>
      <c r="GX211"/>
      <c r="GY211"/>
      <c r="GZ211"/>
      <c r="HA211"/>
      <c r="HB211"/>
      <c r="HC211"/>
      <c r="HD211"/>
      <c r="HE211"/>
      <c r="HF211"/>
      <c r="HG211"/>
      <c r="HH211"/>
      <c r="HI211"/>
      <c r="HJ211"/>
      <c r="HK211"/>
      <c r="HL211"/>
      <c r="HM211"/>
      <c r="HN211"/>
      <c r="HO211"/>
      <c r="HP211"/>
      <c r="HQ211"/>
      <c r="HR211"/>
      <c r="HS211"/>
      <c r="HT211"/>
      <c r="HU211"/>
      <c r="HV211"/>
      <c r="HW211"/>
      <c r="HX211"/>
      <c r="HY211"/>
      <c r="HZ211"/>
      <c r="IA211"/>
      <c r="IB211"/>
      <c r="IC211"/>
      <c r="ID211"/>
      <c r="IE211"/>
      <c r="IF211"/>
      <c r="IG211"/>
      <c r="IH211"/>
      <c r="II211"/>
      <c r="IJ211"/>
      <c r="IK211"/>
      <c r="IL211"/>
      <c r="IM211"/>
      <c r="IN211"/>
      <c r="IO211"/>
      <c r="IP211"/>
      <c r="IQ211"/>
      <c r="IR211"/>
      <c r="IS211"/>
      <c r="IT211"/>
      <c r="IU211"/>
      <c r="IV211"/>
      <c r="IW211"/>
      <c r="IX211"/>
      <c r="IY211"/>
      <c r="IZ211"/>
      <c r="JA211"/>
      <c r="JB211"/>
      <c r="JC211"/>
      <c r="JD211"/>
      <c r="JE211"/>
      <c r="JF211"/>
      <c r="JG211"/>
      <c r="JH211"/>
      <c r="JI211"/>
      <c r="JJ211"/>
      <c r="JK211"/>
      <c r="JL211"/>
      <c r="JM211"/>
      <c r="JN211"/>
      <c r="JO211"/>
      <c r="JP211"/>
      <c r="JQ211"/>
      <c r="JR211"/>
      <c r="JS211"/>
      <c r="JT211"/>
      <c r="JU211"/>
      <c r="JV211"/>
      <c r="JW211"/>
      <c r="JX211"/>
      <c r="JY211"/>
      <c r="JZ211"/>
      <c r="KA211"/>
      <c r="KB211"/>
      <c r="KC211"/>
      <c r="KD211"/>
      <c r="KE211"/>
      <c r="KF211"/>
      <c r="KG211"/>
      <c r="KH211"/>
      <c r="KI211"/>
      <c r="KJ211"/>
      <c r="KK211"/>
      <c r="KL211"/>
      <c r="KM211"/>
      <c r="KN211"/>
      <c r="KO211"/>
      <c r="KP211"/>
      <c r="KQ211"/>
      <c r="KR211"/>
      <c r="KS211"/>
    </row>
    <row r="212" spans="2:305" hidden="1" x14ac:dyDescent="0.25">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c r="GN212"/>
      <c r="GO212"/>
      <c r="GP212"/>
      <c r="GQ212"/>
      <c r="GR212"/>
      <c r="GS212"/>
      <c r="GT212"/>
      <c r="GU212"/>
      <c r="GV212"/>
      <c r="GW212"/>
      <c r="GX212"/>
      <c r="GY212"/>
      <c r="GZ212"/>
      <c r="HA212"/>
      <c r="HB212"/>
      <c r="HC212"/>
      <c r="HD212"/>
      <c r="HE212"/>
      <c r="HF212"/>
      <c r="HG212"/>
      <c r="HH212"/>
      <c r="HI212"/>
      <c r="HJ212"/>
      <c r="HK212"/>
      <c r="HL212"/>
      <c r="HM212"/>
      <c r="HN212"/>
      <c r="HO212"/>
      <c r="HP212"/>
      <c r="HQ212"/>
      <c r="HR212"/>
      <c r="HS212"/>
      <c r="HT212"/>
      <c r="HU212"/>
      <c r="HV212"/>
      <c r="HW212"/>
      <c r="HX212"/>
      <c r="HY212"/>
      <c r="HZ212"/>
      <c r="IA212"/>
      <c r="IB212"/>
      <c r="IC212"/>
      <c r="ID212"/>
      <c r="IE212"/>
      <c r="IF212"/>
      <c r="IG212"/>
      <c r="IH212"/>
      <c r="II212"/>
      <c r="IJ212"/>
      <c r="IK212"/>
      <c r="IL212"/>
      <c r="IM212"/>
      <c r="IN212"/>
      <c r="IO212"/>
      <c r="IP212"/>
      <c r="IQ212"/>
      <c r="IR212"/>
      <c r="IS212"/>
      <c r="IT212"/>
      <c r="IU212"/>
      <c r="IV212"/>
      <c r="IW212"/>
      <c r="IX212"/>
      <c r="IY212"/>
      <c r="IZ212"/>
      <c r="JA212"/>
      <c r="JB212"/>
      <c r="JC212"/>
      <c r="JD212"/>
      <c r="JE212"/>
      <c r="JF212"/>
      <c r="JG212"/>
      <c r="JH212"/>
      <c r="JI212"/>
      <c r="JJ212"/>
      <c r="JK212"/>
      <c r="JL212"/>
      <c r="JM212"/>
      <c r="JN212"/>
      <c r="JO212"/>
      <c r="JP212"/>
      <c r="JQ212"/>
      <c r="JR212"/>
      <c r="JS212"/>
      <c r="JT212"/>
      <c r="JU212"/>
      <c r="JV212"/>
      <c r="JW212"/>
      <c r="JX212"/>
      <c r="JY212"/>
      <c r="JZ212"/>
      <c r="KA212"/>
      <c r="KB212"/>
      <c r="KC212"/>
      <c r="KD212"/>
      <c r="KE212"/>
      <c r="KF212"/>
      <c r="KG212"/>
      <c r="KH212"/>
      <c r="KI212"/>
      <c r="KJ212"/>
      <c r="KK212"/>
      <c r="KL212"/>
      <c r="KM212"/>
      <c r="KN212"/>
      <c r="KO212"/>
      <c r="KP212"/>
      <c r="KQ212"/>
      <c r="KR212"/>
      <c r="KS212"/>
    </row>
    <row r="213" spans="2:305" hidden="1" x14ac:dyDescent="0.25">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c r="GN213"/>
      <c r="GO213"/>
      <c r="GP213"/>
      <c r="GQ213"/>
      <c r="GR213"/>
      <c r="GS213"/>
      <c r="GT213"/>
      <c r="GU213"/>
      <c r="GV213"/>
      <c r="GW213"/>
      <c r="GX213"/>
      <c r="GY213"/>
      <c r="GZ213"/>
      <c r="HA213"/>
      <c r="HB213"/>
      <c r="HC213"/>
      <c r="HD213"/>
      <c r="HE213"/>
      <c r="HF213"/>
      <c r="HG213"/>
      <c r="HH213"/>
      <c r="HI213"/>
      <c r="HJ213"/>
      <c r="HK213"/>
      <c r="HL213"/>
      <c r="HM213"/>
      <c r="HN213"/>
      <c r="HO213"/>
      <c r="HP213"/>
      <c r="HQ213"/>
      <c r="HR213"/>
      <c r="HS213"/>
      <c r="HT213"/>
      <c r="HU213"/>
      <c r="HV213"/>
      <c r="HW213"/>
      <c r="HX213"/>
      <c r="HY213"/>
      <c r="HZ213"/>
      <c r="IA213"/>
      <c r="IB213"/>
      <c r="IC213"/>
      <c r="ID213"/>
      <c r="IE213"/>
      <c r="IF213"/>
      <c r="IG213"/>
      <c r="IH213"/>
      <c r="II213"/>
      <c r="IJ213"/>
      <c r="IK213"/>
      <c r="IL213"/>
      <c r="IM213"/>
      <c r="IN213"/>
      <c r="IO213"/>
      <c r="IP213"/>
      <c r="IQ213"/>
      <c r="IR213"/>
      <c r="IS213"/>
      <c r="IT213"/>
      <c r="IU213"/>
      <c r="IV213"/>
      <c r="IW213"/>
      <c r="IX213"/>
      <c r="IY213"/>
      <c r="IZ213"/>
      <c r="JA213"/>
      <c r="JB213"/>
      <c r="JC213"/>
      <c r="JD213"/>
      <c r="JE213"/>
      <c r="JF213"/>
      <c r="JG213"/>
      <c r="JH213"/>
      <c r="JI213"/>
      <c r="JJ213"/>
      <c r="JK213"/>
      <c r="JL213"/>
      <c r="JM213"/>
      <c r="JN213"/>
      <c r="JO213"/>
      <c r="JP213"/>
      <c r="JQ213"/>
      <c r="JR213"/>
      <c r="JS213"/>
      <c r="JT213"/>
      <c r="JU213"/>
      <c r="JV213"/>
      <c r="JW213"/>
      <c r="JX213"/>
      <c r="JY213"/>
      <c r="JZ213"/>
      <c r="KA213"/>
      <c r="KB213"/>
      <c r="KC213"/>
      <c r="KD213"/>
      <c r="KE213"/>
      <c r="KF213"/>
      <c r="KG213"/>
      <c r="KH213"/>
      <c r="KI213"/>
      <c r="KJ213"/>
      <c r="KK213"/>
      <c r="KL213"/>
      <c r="KM213"/>
      <c r="KN213"/>
      <c r="KO213"/>
      <c r="KP213"/>
      <c r="KQ213"/>
      <c r="KR213"/>
      <c r="KS213"/>
    </row>
    <row r="214" spans="2:305" hidden="1" x14ac:dyDescent="0.25">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c r="GN214"/>
      <c r="GO214"/>
      <c r="GP214"/>
      <c r="GQ214"/>
      <c r="GR214"/>
      <c r="GS214"/>
      <c r="GT214"/>
      <c r="GU214"/>
      <c r="GV214"/>
      <c r="GW214"/>
      <c r="GX214"/>
      <c r="GY214"/>
      <c r="GZ214"/>
      <c r="HA214"/>
      <c r="HB214"/>
      <c r="HC214"/>
      <c r="HD214"/>
      <c r="HE214"/>
      <c r="HF214"/>
      <c r="HG214"/>
      <c r="HH214"/>
      <c r="HI214"/>
      <c r="HJ214"/>
      <c r="HK214"/>
      <c r="HL214"/>
      <c r="HM214"/>
      <c r="HN214"/>
      <c r="HO214"/>
      <c r="HP214"/>
      <c r="HQ214"/>
      <c r="HR214"/>
      <c r="HS214"/>
      <c r="HT214"/>
      <c r="HU214"/>
      <c r="HV214"/>
      <c r="HW214"/>
      <c r="HX214"/>
      <c r="HY214"/>
      <c r="HZ214"/>
      <c r="IA214"/>
      <c r="IB214"/>
      <c r="IC214"/>
      <c r="ID214"/>
      <c r="IE214"/>
      <c r="IF214"/>
      <c r="IG214"/>
      <c r="IH214"/>
      <c r="II214"/>
      <c r="IJ214"/>
      <c r="IK214"/>
      <c r="IL214"/>
      <c r="IM214"/>
      <c r="IN214"/>
      <c r="IO214"/>
      <c r="IP214"/>
      <c r="IQ214"/>
      <c r="IR214"/>
      <c r="IS214"/>
      <c r="IT214"/>
      <c r="IU214"/>
      <c r="IV214"/>
      <c r="IW214"/>
      <c r="IX214"/>
      <c r="IY214"/>
      <c r="IZ214"/>
      <c r="JA214"/>
      <c r="JB214"/>
      <c r="JC214"/>
      <c r="JD214"/>
      <c r="JE214"/>
      <c r="JF214"/>
      <c r="JG214"/>
      <c r="JH214"/>
      <c r="JI214"/>
      <c r="JJ214"/>
      <c r="JK214"/>
      <c r="JL214"/>
      <c r="JM214"/>
      <c r="JN214"/>
      <c r="JO214"/>
      <c r="JP214"/>
      <c r="JQ214"/>
      <c r="JR214"/>
      <c r="JS214"/>
      <c r="JT214"/>
      <c r="JU214"/>
      <c r="JV214"/>
      <c r="JW214"/>
      <c r="JX214"/>
      <c r="JY214"/>
      <c r="JZ214"/>
      <c r="KA214"/>
      <c r="KB214"/>
      <c r="KC214"/>
      <c r="KD214"/>
      <c r="KE214"/>
      <c r="KF214"/>
      <c r="KG214"/>
      <c r="KH214"/>
      <c r="KI214"/>
      <c r="KJ214"/>
      <c r="KK214"/>
      <c r="KL214"/>
      <c r="KM214"/>
      <c r="KN214"/>
      <c r="KO214"/>
      <c r="KP214"/>
      <c r="KQ214"/>
      <c r="KR214"/>
      <c r="KS214"/>
    </row>
    <row r="215" spans="2:305" hidden="1" x14ac:dyDescent="0.2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c r="GN215"/>
      <c r="GO215"/>
      <c r="GP215"/>
      <c r="GQ215"/>
      <c r="GR215"/>
      <c r="GS215"/>
      <c r="GT215"/>
      <c r="GU215"/>
      <c r="GV215"/>
      <c r="GW215"/>
      <c r="GX215"/>
      <c r="GY215"/>
      <c r="GZ215"/>
      <c r="HA215"/>
      <c r="HB215"/>
      <c r="HC215"/>
      <c r="HD215"/>
      <c r="HE215"/>
      <c r="HF215"/>
      <c r="HG215"/>
      <c r="HH215"/>
      <c r="HI215"/>
      <c r="HJ215"/>
      <c r="HK215"/>
      <c r="HL215"/>
      <c r="HM215"/>
      <c r="HN215"/>
      <c r="HO215"/>
      <c r="HP215"/>
      <c r="HQ215"/>
      <c r="HR215"/>
      <c r="HS215"/>
      <c r="HT215"/>
      <c r="HU215"/>
      <c r="HV215"/>
      <c r="HW215"/>
      <c r="HX215"/>
      <c r="HY215"/>
      <c r="HZ215"/>
      <c r="IA215"/>
      <c r="IB215"/>
      <c r="IC215"/>
      <c r="ID215"/>
      <c r="IE215"/>
      <c r="IF215"/>
      <c r="IG215"/>
      <c r="IH215"/>
      <c r="II215"/>
      <c r="IJ215"/>
      <c r="IK215"/>
      <c r="IL215"/>
      <c r="IM215"/>
      <c r="IN215"/>
      <c r="IO215"/>
      <c r="IP215"/>
      <c r="IQ215"/>
      <c r="IR215"/>
      <c r="IS215"/>
      <c r="IT215"/>
      <c r="IU215"/>
      <c r="IV215"/>
      <c r="IW215"/>
      <c r="IX215"/>
      <c r="IY215"/>
      <c r="IZ215"/>
      <c r="JA215"/>
      <c r="JB215"/>
      <c r="JC215"/>
      <c r="JD215"/>
      <c r="JE215"/>
      <c r="JF215"/>
      <c r="JG215"/>
      <c r="JH215"/>
      <c r="JI215"/>
      <c r="JJ215"/>
      <c r="JK215"/>
      <c r="JL215"/>
      <c r="JM215"/>
      <c r="JN215"/>
      <c r="JO215"/>
      <c r="JP215"/>
      <c r="JQ215"/>
      <c r="JR215"/>
      <c r="JS215"/>
      <c r="JT215"/>
      <c r="JU215"/>
      <c r="JV215"/>
      <c r="JW215"/>
      <c r="JX215"/>
      <c r="JY215"/>
      <c r="JZ215"/>
      <c r="KA215"/>
      <c r="KB215"/>
      <c r="KC215"/>
      <c r="KD215"/>
      <c r="KE215"/>
      <c r="KF215"/>
      <c r="KG215"/>
      <c r="KH215"/>
      <c r="KI215"/>
      <c r="KJ215"/>
      <c r="KK215"/>
      <c r="KL215"/>
      <c r="KM215"/>
      <c r="KN215"/>
      <c r="KO215"/>
      <c r="KP215"/>
      <c r="KQ215"/>
      <c r="KR215"/>
      <c r="KS215"/>
    </row>
    <row r="216" spans="2:305" hidden="1" x14ac:dyDescent="0.25">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c r="GN216"/>
      <c r="GO216"/>
      <c r="GP216"/>
      <c r="GQ216"/>
      <c r="GR216"/>
      <c r="GS216"/>
      <c r="GT216"/>
      <c r="GU216"/>
      <c r="GV216"/>
      <c r="GW216"/>
      <c r="GX216"/>
      <c r="GY216"/>
      <c r="GZ216"/>
      <c r="HA216"/>
      <c r="HB216"/>
      <c r="HC216"/>
      <c r="HD216"/>
      <c r="HE216"/>
      <c r="HF216"/>
      <c r="HG216"/>
      <c r="HH216"/>
      <c r="HI216"/>
      <c r="HJ216"/>
      <c r="HK216"/>
      <c r="HL216"/>
      <c r="HM216"/>
      <c r="HN216"/>
      <c r="HO216"/>
      <c r="HP216"/>
      <c r="HQ216"/>
      <c r="HR216"/>
      <c r="HS216"/>
      <c r="HT216"/>
      <c r="HU216"/>
      <c r="HV216"/>
      <c r="HW216"/>
      <c r="HX216"/>
      <c r="HY216"/>
      <c r="HZ216"/>
      <c r="IA216"/>
      <c r="IB216"/>
      <c r="IC216"/>
      <c r="ID216"/>
      <c r="IE216"/>
      <c r="IF216"/>
      <c r="IG216"/>
      <c r="IH216"/>
      <c r="II216"/>
      <c r="IJ216"/>
      <c r="IK216"/>
      <c r="IL216"/>
      <c r="IM216"/>
      <c r="IN216"/>
      <c r="IO216"/>
      <c r="IP216"/>
      <c r="IQ216"/>
      <c r="IR216"/>
      <c r="IS216"/>
      <c r="IT216"/>
      <c r="IU216"/>
      <c r="IV216"/>
      <c r="IW216"/>
      <c r="IX216"/>
      <c r="IY216"/>
      <c r="IZ216"/>
      <c r="JA216"/>
      <c r="JB216"/>
      <c r="JC216"/>
      <c r="JD216"/>
      <c r="JE216"/>
      <c r="JF216"/>
      <c r="JG216"/>
      <c r="JH216"/>
      <c r="JI216"/>
      <c r="JJ216"/>
      <c r="JK216"/>
      <c r="JL216"/>
      <c r="JM216"/>
      <c r="JN216"/>
      <c r="JO216"/>
      <c r="JP216"/>
      <c r="JQ216"/>
      <c r="JR216"/>
      <c r="JS216"/>
      <c r="JT216"/>
      <c r="JU216"/>
      <c r="JV216"/>
      <c r="JW216"/>
      <c r="JX216"/>
      <c r="JY216"/>
      <c r="JZ216"/>
      <c r="KA216"/>
      <c r="KB216"/>
      <c r="KC216"/>
      <c r="KD216"/>
      <c r="KE216"/>
      <c r="KF216"/>
      <c r="KG216"/>
      <c r="KH216"/>
      <c r="KI216"/>
      <c r="KJ216"/>
      <c r="KK216"/>
      <c r="KL216"/>
      <c r="KM216"/>
      <c r="KN216"/>
      <c r="KO216"/>
      <c r="KP216"/>
      <c r="KQ216"/>
      <c r="KR216"/>
      <c r="KS216"/>
    </row>
    <row r="217" spans="2:305" hidden="1" x14ac:dyDescent="0.25">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c r="GN217"/>
      <c r="GO217"/>
      <c r="GP217"/>
      <c r="GQ217"/>
      <c r="GR217"/>
      <c r="GS217"/>
      <c r="GT217"/>
      <c r="GU217"/>
      <c r="GV217"/>
      <c r="GW217"/>
      <c r="GX217"/>
      <c r="GY217"/>
      <c r="GZ217"/>
      <c r="HA217"/>
      <c r="HB217"/>
      <c r="HC217"/>
      <c r="HD217"/>
      <c r="HE217"/>
      <c r="HF217"/>
      <c r="HG217"/>
      <c r="HH217"/>
      <c r="HI217"/>
      <c r="HJ217"/>
      <c r="HK217"/>
      <c r="HL217"/>
      <c r="HM217"/>
      <c r="HN217"/>
      <c r="HO217"/>
      <c r="HP217"/>
      <c r="HQ217"/>
      <c r="HR217"/>
      <c r="HS217"/>
      <c r="HT217"/>
      <c r="HU217"/>
      <c r="HV217"/>
      <c r="HW217"/>
      <c r="HX217"/>
      <c r="HY217"/>
      <c r="HZ217"/>
      <c r="IA217"/>
      <c r="IB217"/>
      <c r="IC217"/>
      <c r="ID217"/>
      <c r="IE217"/>
      <c r="IF217"/>
      <c r="IG217"/>
      <c r="IH217"/>
      <c r="II217"/>
      <c r="IJ217"/>
      <c r="IK217"/>
      <c r="IL217"/>
      <c r="IM217"/>
      <c r="IN217"/>
      <c r="IO217"/>
      <c r="IP217"/>
      <c r="IQ217"/>
      <c r="IR217"/>
      <c r="IS217"/>
      <c r="IT217"/>
      <c r="IU217"/>
      <c r="IV217"/>
      <c r="IW217"/>
      <c r="IX217"/>
      <c r="IY217"/>
      <c r="IZ217"/>
      <c r="JA217"/>
      <c r="JB217"/>
      <c r="JC217"/>
      <c r="JD217"/>
      <c r="JE217"/>
      <c r="JF217"/>
      <c r="JG217"/>
      <c r="JH217"/>
      <c r="JI217"/>
      <c r="JJ217"/>
      <c r="JK217"/>
      <c r="JL217"/>
      <c r="JM217"/>
      <c r="JN217"/>
      <c r="JO217"/>
      <c r="JP217"/>
      <c r="JQ217"/>
      <c r="JR217"/>
      <c r="JS217"/>
      <c r="JT217"/>
      <c r="JU217"/>
      <c r="JV217"/>
      <c r="JW217"/>
      <c r="JX217"/>
      <c r="JY217"/>
      <c r="JZ217"/>
      <c r="KA217"/>
      <c r="KB217"/>
      <c r="KC217"/>
      <c r="KD217"/>
      <c r="KE217"/>
      <c r="KF217"/>
      <c r="KG217"/>
      <c r="KH217"/>
      <c r="KI217"/>
      <c r="KJ217"/>
      <c r="KK217"/>
      <c r="KL217"/>
      <c r="KM217"/>
      <c r="KN217"/>
      <c r="KO217"/>
      <c r="KP217"/>
      <c r="KQ217"/>
      <c r="KR217"/>
      <c r="KS217"/>
    </row>
    <row r="218" spans="2:305" hidden="1" x14ac:dyDescent="0.25">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c r="GN218"/>
      <c r="GO218"/>
      <c r="GP218"/>
      <c r="GQ218"/>
      <c r="GR218"/>
      <c r="GS218"/>
      <c r="GT218"/>
      <c r="GU218"/>
      <c r="GV218"/>
      <c r="GW218"/>
      <c r="GX218"/>
      <c r="GY218"/>
      <c r="GZ218"/>
      <c r="HA218"/>
      <c r="HB218"/>
      <c r="HC218"/>
      <c r="HD218"/>
      <c r="HE218"/>
      <c r="HF218"/>
      <c r="HG218"/>
      <c r="HH218"/>
      <c r="HI218"/>
      <c r="HJ218"/>
      <c r="HK218"/>
      <c r="HL218"/>
      <c r="HM218"/>
      <c r="HN218"/>
      <c r="HO218"/>
      <c r="HP218"/>
      <c r="HQ218"/>
      <c r="HR218"/>
      <c r="HS218"/>
      <c r="HT218"/>
      <c r="HU218"/>
      <c r="HV218"/>
      <c r="HW218"/>
      <c r="HX218"/>
      <c r="HY218"/>
      <c r="HZ218"/>
      <c r="IA218"/>
      <c r="IB218"/>
      <c r="IC218"/>
      <c r="ID218"/>
      <c r="IE218"/>
      <c r="IF218"/>
      <c r="IG218"/>
      <c r="IH218"/>
      <c r="II218"/>
      <c r="IJ218"/>
      <c r="IK218"/>
      <c r="IL218"/>
      <c r="IM218"/>
      <c r="IN218"/>
      <c r="IO218"/>
      <c r="IP218"/>
      <c r="IQ218"/>
      <c r="IR218"/>
      <c r="IS218"/>
      <c r="IT218"/>
      <c r="IU218"/>
      <c r="IV218"/>
      <c r="IW218"/>
      <c r="IX218"/>
      <c r="IY218"/>
      <c r="IZ218"/>
      <c r="JA218"/>
      <c r="JB218"/>
      <c r="JC218"/>
      <c r="JD218"/>
      <c r="JE218"/>
      <c r="JF218"/>
      <c r="JG218"/>
      <c r="JH218"/>
      <c r="JI218"/>
      <c r="JJ218"/>
      <c r="JK218"/>
      <c r="JL218"/>
      <c r="JM218"/>
      <c r="JN218"/>
      <c r="JO218"/>
      <c r="JP218"/>
      <c r="JQ218"/>
      <c r="JR218"/>
      <c r="JS218"/>
      <c r="JT218"/>
      <c r="JU218"/>
      <c r="JV218"/>
      <c r="JW218"/>
      <c r="JX218"/>
      <c r="JY218"/>
      <c r="JZ218"/>
      <c r="KA218"/>
      <c r="KB218"/>
      <c r="KC218"/>
      <c r="KD218"/>
      <c r="KE218"/>
      <c r="KF218"/>
      <c r="KG218"/>
      <c r="KH218"/>
      <c r="KI218"/>
      <c r="KJ218"/>
      <c r="KK218"/>
      <c r="KL218"/>
      <c r="KM218"/>
      <c r="KN218"/>
      <c r="KO218"/>
      <c r="KP218"/>
      <c r="KQ218"/>
      <c r="KR218"/>
      <c r="KS218"/>
    </row>
    <row r="219" spans="2:305" hidden="1" x14ac:dyDescent="0.25">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c r="GN219"/>
      <c r="GO219"/>
      <c r="GP219"/>
      <c r="GQ219"/>
      <c r="GR219"/>
      <c r="GS219"/>
      <c r="GT219"/>
      <c r="GU219"/>
      <c r="GV219"/>
      <c r="GW219"/>
      <c r="GX219"/>
      <c r="GY219"/>
      <c r="GZ219"/>
      <c r="HA219"/>
      <c r="HB219"/>
      <c r="HC219"/>
      <c r="HD219"/>
      <c r="HE219"/>
      <c r="HF219"/>
      <c r="HG219"/>
      <c r="HH219"/>
      <c r="HI219"/>
      <c r="HJ219"/>
      <c r="HK219"/>
      <c r="HL219"/>
      <c r="HM219"/>
      <c r="HN219"/>
      <c r="HO219"/>
      <c r="HP219"/>
      <c r="HQ219"/>
      <c r="HR219"/>
      <c r="HS219"/>
      <c r="HT219"/>
      <c r="HU219"/>
      <c r="HV219"/>
      <c r="HW219"/>
      <c r="HX219"/>
      <c r="HY219"/>
      <c r="HZ219"/>
      <c r="IA219"/>
      <c r="IB219"/>
      <c r="IC219"/>
      <c r="ID219"/>
      <c r="IE219"/>
      <c r="IF219"/>
      <c r="IG219"/>
      <c r="IH219"/>
      <c r="II219"/>
      <c r="IJ219"/>
      <c r="IK219"/>
      <c r="IL219"/>
      <c r="IM219"/>
      <c r="IN219"/>
      <c r="IO219"/>
      <c r="IP219"/>
      <c r="IQ219"/>
      <c r="IR219"/>
      <c r="IS219"/>
      <c r="IT219"/>
      <c r="IU219"/>
      <c r="IV219"/>
      <c r="IW219"/>
      <c r="IX219"/>
      <c r="IY219"/>
      <c r="IZ219"/>
      <c r="JA219"/>
      <c r="JB219"/>
      <c r="JC219"/>
      <c r="JD219"/>
      <c r="JE219"/>
      <c r="JF219"/>
      <c r="JG219"/>
      <c r="JH219"/>
      <c r="JI219"/>
      <c r="JJ219"/>
      <c r="JK219"/>
      <c r="JL219"/>
      <c r="JM219"/>
      <c r="JN219"/>
      <c r="JO219"/>
      <c r="JP219"/>
      <c r="JQ219"/>
      <c r="JR219"/>
      <c r="JS219"/>
      <c r="JT219"/>
      <c r="JU219"/>
      <c r="JV219"/>
      <c r="JW219"/>
      <c r="JX219"/>
      <c r="JY219"/>
      <c r="JZ219"/>
      <c r="KA219"/>
      <c r="KB219"/>
      <c r="KC219"/>
      <c r="KD219"/>
      <c r="KE219"/>
      <c r="KF219"/>
      <c r="KG219"/>
      <c r="KH219"/>
      <c r="KI219"/>
      <c r="KJ219"/>
      <c r="KK219"/>
      <c r="KL219"/>
      <c r="KM219"/>
      <c r="KN219"/>
      <c r="KO219"/>
      <c r="KP219"/>
      <c r="KQ219"/>
      <c r="KR219"/>
      <c r="KS219"/>
    </row>
    <row r="220" spans="2:305" hidden="1" x14ac:dyDescent="0.25">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c r="GN220"/>
      <c r="GO220"/>
      <c r="GP220"/>
      <c r="GQ220"/>
      <c r="GR220"/>
      <c r="GS220"/>
      <c r="GT220"/>
      <c r="GU220"/>
      <c r="GV220"/>
      <c r="GW220"/>
      <c r="GX220"/>
      <c r="GY220"/>
      <c r="GZ220"/>
      <c r="HA220"/>
      <c r="HB220"/>
      <c r="HC220"/>
      <c r="HD220"/>
      <c r="HE220"/>
      <c r="HF220"/>
      <c r="HG220"/>
      <c r="HH220"/>
      <c r="HI220"/>
      <c r="HJ220"/>
      <c r="HK220"/>
      <c r="HL220"/>
      <c r="HM220"/>
      <c r="HN220"/>
      <c r="HO220"/>
      <c r="HP220"/>
      <c r="HQ220"/>
      <c r="HR220"/>
      <c r="HS220"/>
      <c r="HT220"/>
      <c r="HU220"/>
      <c r="HV220"/>
      <c r="HW220"/>
      <c r="HX220"/>
      <c r="HY220"/>
      <c r="HZ220"/>
      <c r="IA220"/>
      <c r="IB220"/>
      <c r="IC220"/>
      <c r="ID220"/>
      <c r="IE220"/>
      <c r="IF220"/>
      <c r="IG220"/>
      <c r="IH220"/>
      <c r="II220"/>
      <c r="IJ220"/>
      <c r="IK220"/>
      <c r="IL220"/>
      <c r="IM220"/>
      <c r="IN220"/>
      <c r="IO220"/>
      <c r="IP220"/>
      <c r="IQ220"/>
      <c r="IR220"/>
      <c r="IS220"/>
      <c r="IT220"/>
      <c r="IU220"/>
      <c r="IV220"/>
      <c r="IW220"/>
      <c r="IX220"/>
      <c r="IY220"/>
      <c r="IZ220"/>
      <c r="JA220"/>
      <c r="JB220"/>
      <c r="JC220"/>
      <c r="JD220"/>
      <c r="JE220"/>
      <c r="JF220"/>
      <c r="JG220"/>
      <c r="JH220"/>
      <c r="JI220"/>
      <c r="JJ220"/>
      <c r="JK220"/>
      <c r="JL220"/>
      <c r="JM220"/>
      <c r="JN220"/>
      <c r="JO220"/>
      <c r="JP220"/>
      <c r="JQ220"/>
      <c r="JR220"/>
      <c r="JS220"/>
      <c r="JT220"/>
      <c r="JU220"/>
      <c r="JV220"/>
      <c r="JW220"/>
      <c r="JX220"/>
      <c r="JY220"/>
      <c r="JZ220"/>
      <c r="KA220"/>
      <c r="KB220"/>
      <c r="KC220"/>
      <c r="KD220"/>
      <c r="KE220"/>
      <c r="KF220"/>
      <c r="KG220"/>
      <c r="KH220"/>
      <c r="KI220"/>
      <c r="KJ220"/>
      <c r="KK220"/>
      <c r="KL220"/>
      <c r="KM220"/>
      <c r="KN220"/>
      <c r="KO220"/>
      <c r="KP220"/>
      <c r="KQ220"/>
      <c r="KR220"/>
      <c r="KS220"/>
    </row>
    <row r="221" spans="2:305" hidden="1" x14ac:dyDescent="0.25">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c r="GN221"/>
      <c r="GO221"/>
      <c r="GP221"/>
      <c r="GQ221"/>
      <c r="GR221"/>
      <c r="GS221"/>
      <c r="GT221"/>
      <c r="GU221"/>
      <c r="GV221"/>
      <c r="GW221"/>
      <c r="GX221"/>
      <c r="GY221"/>
      <c r="GZ221"/>
      <c r="HA221"/>
      <c r="HB221"/>
      <c r="HC221"/>
      <c r="HD221"/>
      <c r="HE221"/>
      <c r="HF221"/>
      <c r="HG221"/>
      <c r="HH221"/>
      <c r="HI221"/>
      <c r="HJ221"/>
      <c r="HK221"/>
      <c r="HL221"/>
      <c r="HM221"/>
      <c r="HN221"/>
      <c r="HO221"/>
      <c r="HP221"/>
      <c r="HQ221"/>
      <c r="HR221"/>
      <c r="HS221"/>
      <c r="HT221"/>
      <c r="HU221"/>
      <c r="HV221"/>
      <c r="HW221"/>
      <c r="HX221"/>
      <c r="HY221"/>
      <c r="HZ221"/>
      <c r="IA221"/>
      <c r="IB221"/>
      <c r="IC221"/>
      <c r="ID221"/>
      <c r="IE221"/>
      <c r="IF221"/>
      <c r="IG221"/>
      <c r="IH221"/>
      <c r="II221"/>
      <c r="IJ221"/>
      <c r="IK221"/>
      <c r="IL221"/>
      <c r="IM221"/>
      <c r="IN221"/>
      <c r="IO221"/>
      <c r="IP221"/>
      <c r="IQ221"/>
      <c r="IR221"/>
      <c r="IS221"/>
      <c r="IT221"/>
      <c r="IU221"/>
      <c r="IV221"/>
      <c r="IW221"/>
      <c r="IX221"/>
      <c r="IY221"/>
      <c r="IZ221"/>
      <c r="JA221"/>
      <c r="JB221"/>
      <c r="JC221"/>
      <c r="JD221"/>
      <c r="JE221"/>
      <c r="JF221"/>
      <c r="JG221"/>
      <c r="JH221"/>
      <c r="JI221"/>
      <c r="JJ221"/>
      <c r="JK221"/>
      <c r="JL221"/>
      <c r="JM221"/>
      <c r="JN221"/>
      <c r="JO221"/>
      <c r="JP221"/>
      <c r="JQ221"/>
      <c r="JR221"/>
      <c r="JS221"/>
      <c r="JT221"/>
      <c r="JU221"/>
      <c r="JV221"/>
      <c r="JW221"/>
      <c r="JX221"/>
      <c r="JY221"/>
      <c r="JZ221"/>
      <c r="KA221"/>
      <c r="KB221"/>
      <c r="KC221"/>
      <c r="KD221"/>
      <c r="KE221"/>
      <c r="KF221"/>
      <c r="KG221"/>
      <c r="KH221"/>
      <c r="KI221"/>
      <c r="KJ221"/>
      <c r="KK221"/>
      <c r="KL221"/>
      <c r="KM221"/>
      <c r="KN221"/>
      <c r="KO221"/>
      <c r="KP221"/>
      <c r="KQ221"/>
      <c r="KR221"/>
      <c r="KS221"/>
    </row>
    <row r="222" spans="2:305" hidden="1" x14ac:dyDescent="0.25">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c r="GN222"/>
      <c r="GO222"/>
      <c r="GP222"/>
      <c r="GQ222"/>
      <c r="GR222"/>
      <c r="GS222"/>
      <c r="GT222"/>
      <c r="GU222"/>
      <c r="GV222"/>
      <c r="GW222"/>
      <c r="GX222"/>
      <c r="GY222"/>
      <c r="GZ222"/>
      <c r="HA222"/>
      <c r="HB222"/>
      <c r="HC222"/>
      <c r="HD222"/>
      <c r="HE222"/>
      <c r="HF222"/>
      <c r="HG222"/>
      <c r="HH222"/>
      <c r="HI222"/>
      <c r="HJ222"/>
      <c r="HK222"/>
      <c r="HL222"/>
      <c r="HM222"/>
      <c r="HN222"/>
      <c r="HO222"/>
      <c r="HP222"/>
      <c r="HQ222"/>
      <c r="HR222"/>
      <c r="HS222"/>
      <c r="HT222"/>
      <c r="HU222"/>
      <c r="HV222"/>
      <c r="HW222"/>
      <c r="HX222"/>
      <c r="HY222"/>
      <c r="HZ222"/>
      <c r="IA222"/>
      <c r="IB222"/>
      <c r="IC222"/>
      <c r="ID222"/>
      <c r="IE222"/>
      <c r="IF222"/>
      <c r="IG222"/>
      <c r="IH222"/>
      <c r="II222"/>
      <c r="IJ222"/>
      <c r="IK222"/>
      <c r="IL222"/>
      <c r="IM222"/>
      <c r="IN222"/>
      <c r="IO222"/>
      <c r="IP222"/>
      <c r="IQ222"/>
      <c r="IR222"/>
      <c r="IS222"/>
      <c r="IT222"/>
      <c r="IU222"/>
      <c r="IV222"/>
      <c r="IW222"/>
      <c r="IX222"/>
      <c r="IY222"/>
      <c r="IZ222"/>
      <c r="JA222"/>
      <c r="JB222"/>
      <c r="JC222"/>
      <c r="JD222"/>
      <c r="JE222"/>
      <c r="JF222"/>
      <c r="JG222"/>
      <c r="JH222"/>
      <c r="JI222"/>
      <c r="JJ222"/>
      <c r="JK222"/>
      <c r="JL222"/>
      <c r="JM222"/>
      <c r="JN222"/>
      <c r="JO222"/>
      <c r="JP222"/>
      <c r="JQ222"/>
      <c r="JR222"/>
      <c r="JS222"/>
      <c r="JT222"/>
      <c r="JU222"/>
      <c r="JV222"/>
      <c r="JW222"/>
      <c r="JX222"/>
      <c r="JY222"/>
      <c r="JZ222"/>
      <c r="KA222"/>
      <c r="KB222"/>
      <c r="KC222"/>
      <c r="KD222"/>
      <c r="KE222"/>
      <c r="KF222"/>
      <c r="KG222"/>
      <c r="KH222"/>
      <c r="KI222"/>
      <c r="KJ222"/>
      <c r="KK222"/>
      <c r="KL222"/>
      <c r="KM222"/>
      <c r="KN222"/>
      <c r="KO222"/>
      <c r="KP222"/>
      <c r="KQ222"/>
      <c r="KR222"/>
      <c r="KS222"/>
    </row>
    <row r="223" spans="2:305" hidden="1" x14ac:dyDescent="0.25">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c r="GN223"/>
      <c r="GO223"/>
      <c r="GP223"/>
      <c r="GQ223"/>
      <c r="GR223"/>
      <c r="GS223"/>
      <c r="GT223"/>
      <c r="GU223"/>
      <c r="GV223"/>
      <c r="GW223"/>
      <c r="GX223"/>
      <c r="GY223"/>
      <c r="GZ223"/>
      <c r="HA223"/>
      <c r="HB223"/>
      <c r="HC223"/>
      <c r="HD223"/>
      <c r="HE223"/>
      <c r="HF223"/>
      <c r="HG223"/>
      <c r="HH223"/>
      <c r="HI223"/>
      <c r="HJ223"/>
      <c r="HK223"/>
      <c r="HL223"/>
      <c r="HM223"/>
      <c r="HN223"/>
      <c r="HO223"/>
      <c r="HP223"/>
      <c r="HQ223"/>
      <c r="HR223"/>
      <c r="HS223"/>
      <c r="HT223"/>
      <c r="HU223"/>
      <c r="HV223"/>
      <c r="HW223"/>
      <c r="HX223"/>
      <c r="HY223"/>
      <c r="HZ223"/>
      <c r="IA223"/>
      <c r="IB223"/>
      <c r="IC223"/>
      <c r="ID223"/>
      <c r="IE223"/>
      <c r="IF223"/>
      <c r="IG223"/>
      <c r="IH223"/>
      <c r="II223"/>
      <c r="IJ223"/>
      <c r="IK223"/>
      <c r="IL223"/>
      <c r="IM223"/>
      <c r="IN223"/>
      <c r="IO223"/>
      <c r="IP223"/>
      <c r="IQ223"/>
      <c r="IR223"/>
      <c r="IS223"/>
      <c r="IT223"/>
      <c r="IU223"/>
      <c r="IV223"/>
      <c r="IW223"/>
      <c r="IX223"/>
      <c r="IY223"/>
      <c r="IZ223"/>
      <c r="JA223"/>
      <c r="JB223"/>
      <c r="JC223"/>
      <c r="JD223"/>
      <c r="JE223"/>
      <c r="JF223"/>
      <c r="JG223"/>
      <c r="JH223"/>
      <c r="JI223"/>
      <c r="JJ223"/>
      <c r="JK223"/>
      <c r="JL223"/>
      <c r="JM223"/>
      <c r="JN223"/>
      <c r="JO223"/>
      <c r="JP223"/>
      <c r="JQ223"/>
      <c r="JR223"/>
      <c r="JS223"/>
      <c r="JT223"/>
      <c r="JU223"/>
      <c r="JV223"/>
      <c r="JW223"/>
      <c r="JX223"/>
      <c r="JY223"/>
      <c r="JZ223"/>
      <c r="KA223"/>
      <c r="KB223"/>
      <c r="KC223"/>
      <c r="KD223"/>
      <c r="KE223"/>
      <c r="KF223"/>
      <c r="KG223"/>
      <c r="KH223"/>
      <c r="KI223"/>
      <c r="KJ223"/>
      <c r="KK223"/>
      <c r="KL223"/>
      <c r="KM223"/>
      <c r="KN223"/>
      <c r="KO223"/>
      <c r="KP223"/>
      <c r="KQ223"/>
      <c r="KR223"/>
      <c r="KS223"/>
    </row>
    <row r="224" spans="2:305" hidden="1" x14ac:dyDescent="0.25">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c r="GN224"/>
      <c r="GO224"/>
      <c r="GP224"/>
      <c r="GQ224"/>
      <c r="GR224"/>
      <c r="GS224"/>
      <c r="GT224"/>
      <c r="GU224"/>
      <c r="GV224"/>
      <c r="GW224"/>
      <c r="GX224"/>
      <c r="GY224"/>
      <c r="GZ224"/>
      <c r="HA224"/>
      <c r="HB224"/>
      <c r="HC224"/>
      <c r="HD224"/>
      <c r="HE224"/>
      <c r="HF224"/>
      <c r="HG224"/>
      <c r="HH224"/>
      <c r="HI224"/>
      <c r="HJ224"/>
      <c r="HK224"/>
      <c r="HL224"/>
      <c r="HM224"/>
      <c r="HN224"/>
      <c r="HO224"/>
      <c r="HP224"/>
      <c r="HQ224"/>
      <c r="HR224"/>
      <c r="HS224"/>
      <c r="HT224"/>
      <c r="HU224"/>
      <c r="HV224"/>
      <c r="HW224"/>
      <c r="HX224"/>
      <c r="HY224"/>
      <c r="HZ224"/>
      <c r="IA224"/>
      <c r="IB224"/>
      <c r="IC224"/>
      <c r="ID224"/>
      <c r="IE224"/>
      <c r="IF224"/>
      <c r="IG224"/>
      <c r="IH224"/>
      <c r="II224"/>
      <c r="IJ224"/>
      <c r="IK224"/>
      <c r="IL224"/>
      <c r="IM224"/>
      <c r="IN224"/>
      <c r="IO224"/>
      <c r="IP224"/>
      <c r="IQ224"/>
      <c r="IR224"/>
      <c r="IS224"/>
      <c r="IT224"/>
      <c r="IU224"/>
      <c r="IV224"/>
      <c r="IW224"/>
      <c r="IX224"/>
      <c r="IY224"/>
      <c r="IZ224"/>
      <c r="JA224"/>
      <c r="JB224"/>
      <c r="JC224"/>
      <c r="JD224"/>
      <c r="JE224"/>
      <c r="JF224"/>
      <c r="JG224"/>
      <c r="JH224"/>
      <c r="JI224"/>
      <c r="JJ224"/>
      <c r="JK224"/>
      <c r="JL224"/>
      <c r="JM224"/>
      <c r="JN224"/>
      <c r="JO224"/>
      <c r="JP224"/>
      <c r="JQ224"/>
      <c r="JR224"/>
      <c r="JS224"/>
      <c r="JT224"/>
      <c r="JU224"/>
      <c r="JV224"/>
      <c r="JW224"/>
      <c r="JX224"/>
      <c r="JY224"/>
      <c r="JZ224"/>
      <c r="KA224"/>
      <c r="KB224"/>
      <c r="KC224"/>
      <c r="KD224"/>
      <c r="KE224"/>
      <c r="KF224"/>
      <c r="KG224"/>
      <c r="KH224"/>
      <c r="KI224"/>
      <c r="KJ224"/>
      <c r="KK224"/>
      <c r="KL224"/>
      <c r="KM224"/>
      <c r="KN224"/>
      <c r="KO224"/>
      <c r="KP224"/>
      <c r="KQ224"/>
      <c r="KR224"/>
      <c r="KS224"/>
    </row>
    <row r="225" spans="2:305" hidden="1" x14ac:dyDescent="0.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c r="GN225"/>
      <c r="GO225"/>
      <c r="GP225"/>
      <c r="GQ225"/>
      <c r="GR225"/>
      <c r="GS225"/>
      <c r="GT225"/>
      <c r="GU225"/>
      <c r="GV225"/>
      <c r="GW225"/>
      <c r="GX225"/>
      <c r="GY225"/>
      <c r="GZ225"/>
      <c r="HA225"/>
      <c r="HB225"/>
      <c r="HC225"/>
      <c r="HD225"/>
      <c r="HE225"/>
      <c r="HF225"/>
      <c r="HG225"/>
      <c r="HH225"/>
      <c r="HI225"/>
      <c r="HJ225"/>
      <c r="HK225"/>
      <c r="HL225"/>
      <c r="HM225"/>
      <c r="HN225"/>
      <c r="HO225"/>
      <c r="HP225"/>
      <c r="HQ225"/>
      <c r="HR225"/>
      <c r="HS225"/>
      <c r="HT225"/>
      <c r="HU225"/>
      <c r="HV225"/>
      <c r="HW225"/>
      <c r="HX225"/>
      <c r="HY225"/>
      <c r="HZ225"/>
      <c r="IA225"/>
      <c r="IB225"/>
      <c r="IC225"/>
      <c r="ID225"/>
      <c r="IE225"/>
      <c r="IF225"/>
      <c r="IG225"/>
      <c r="IH225"/>
      <c r="II225"/>
      <c r="IJ225"/>
      <c r="IK225"/>
      <c r="IL225"/>
      <c r="IM225"/>
      <c r="IN225"/>
      <c r="IO225"/>
      <c r="IP225"/>
      <c r="IQ225"/>
      <c r="IR225"/>
      <c r="IS225"/>
      <c r="IT225"/>
      <c r="IU225"/>
      <c r="IV225"/>
      <c r="IW225"/>
      <c r="IX225"/>
      <c r="IY225"/>
      <c r="IZ225"/>
      <c r="JA225"/>
      <c r="JB225"/>
      <c r="JC225"/>
      <c r="JD225"/>
      <c r="JE225"/>
      <c r="JF225"/>
      <c r="JG225"/>
      <c r="JH225"/>
      <c r="JI225"/>
      <c r="JJ225"/>
      <c r="JK225"/>
      <c r="JL225"/>
      <c r="JM225"/>
      <c r="JN225"/>
      <c r="JO225"/>
      <c r="JP225"/>
      <c r="JQ225"/>
      <c r="JR225"/>
      <c r="JS225"/>
      <c r="JT225"/>
      <c r="JU225"/>
      <c r="JV225"/>
      <c r="JW225"/>
      <c r="JX225"/>
      <c r="JY225"/>
      <c r="JZ225"/>
      <c r="KA225"/>
      <c r="KB225"/>
      <c r="KC225"/>
      <c r="KD225"/>
      <c r="KE225"/>
      <c r="KF225"/>
      <c r="KG225"/>
      <c r="KH225"/>
      <c r="KI225"/>
      <c r="KJ225"/>
      <c r="KK225"/>
      <c r="KL225"/>
      <c r="KM225"/>
      <c r="KN225"/>
      <c r="KO225"/>
      <c r="KP225"/>
      <c r="KQ225"/>
      <c r="KR225"/>
      <c r="KS225"/>
    </row>
    <row r="226" spans="2:305" hidden="1" x14ac:dyDescent="0.25">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c r="GN226"/>
      <c r="GO226"/>
      <c r="GP226"/>
      <c r="GQ226"/>
      <c r="GR226"/>
      <c r="GS226"/>
      <c r="GT226"/>
      <c r="GU226"/>
      <c r="GV226"/>
      <c r="GW226"/>
      <c r="GX226"/>
      <c r="GY226"/>
      <c r="GZ226"/>
      <c r="HA226"/>
      <c r="HB226"/>
      <c r="HC226"/>
      <c r="HD226"/>
      <c r="HE226"/>
      <c r="HF226"/>
      <c r="HG226"/>
      <c r="HH226"/>
      <c r="HI226"/>
      <c r="HJ226"/>
      <c r="HK226"/>
      <c r="HL226"/>
      <c r="HM226"/>
      <c r="HN226"/>
      <c r="HO226"/>
      <c r="HP226"/>
      <c r="HQ226"/>
      <c r="HR226"/>
      <c r="HS226"/>
      <c r="HT226"/>
      <c r="HU226"/>
      <c r="HV226"/>
      <c r="HW226"/>
      <c r="HX226"/>
      <c r="HY226"/>
      <c r="HZ226"/>
      <c r="IA226"/>
      <c r="IB226"/>
      <c r="IC226"/>
      <c r="ID226"/>
      <c r="IE226"/>
      <c r="IF226"/>
      <c r="IG226"/>
      <c r="IH226"/>
      <c r="II226"/>
      <c r="IJ226"/>
      <c r="IK226"/>
      <c r="IL226"/>
      <c r="IM226"/>
      <c r="IN226"/>
      <c r="IO226"/>
      <c r="IP226"/>
      <c r="IQ226"/>
      <c r="IR226"/>
      <c r="IS226"/>
      <c r="IT226"/>
      <c r="IU226"/>
      <c r="IV226"/>
      <c r="IW226"/>
      <c r="IX226"/>
      <c r="IY226"/>
      <c r="IZ226"/>
      <c r="JA226"/>
      <c r="JB226"/>
      <c r="JC226"/>
      <c r="JD226"/>
      <c r="JE226"/>
      <c r="JF226"/>
      <c r="JG226"/>
      <c r="JH226"/>
      <c r="JI226"/>
      <c r="JJ226"/>
      <c r="JK226"/>
      <c r="JL226"/>
      <c r="JM226"/>
      <c r="JN226"/>
      <c r="JO226"/>
      <c r="JP226"/>
      <c r="JQ226"/>
      <c r="JR226"/>
      <c r="JS226"/>
      <c r="JT226"/>
      <c r="JU226"/>
      <c r="JV226"/>
      <c r="JW226"/>
      <c r="JX226"/>
      <c r="JY226"/>
      <c r="JZ226"/>
      <c r="KA226"/>
      <c r="KB226"/>
      <c r="KC226"/>
      <c r="KD226"/>
      <c r="KE226"/>
      <c r="KF226"/>
      <c r="KG226"/>
      <c r="KH226"/>
      <c r="KI226"/>
      <c r="KJ226"/>
      <c r="KK226"/>
      <c r="KL226"/>
      <c r="KM226"/>
      <c r="KN226"/>
      <c r="KO226"/>
      <c r="KP226"/>
      <c r="KQ226"/>
      <c r="KR226"/>
      <c r="KS226"/>
    </row>
    <row r="227" spans="2:305" hidden="1" x14ac:dyDescent="0.25">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c r="GN227"/>
      <c r="GO227"/>
      <c r="GP227"/>
      <c r="GQ227"/>
      <c r="GR227"/>
      <c r="GS227"/>
      <c r="GT227"/>
      <c r="GU227"/>
      <c r="GV227"/>
      <c r="GW227"/>
      <c r="GX227"/>
      <c r="GY227"/>
      <c r="GZ227"/>
      <c r="HA227"/>
      <c r="HB227"/>
      <c r="HC227"/>
      <c r="HD227"/>
      <c r="HE227"/>
      <c r="HF227"/>
      <c r="HG227"/>
      <c r="HH227"/>
      <c r="HI227"/>
      <c r="HJ227"/>
      <c r="HK227"/>
      <c r="HL227"/>
      <c r="HM227"/>
      <c r="HN227"/>
      <c r="HO227"/>
      <c r="HP227"/>
      <c r="HQ227"/>
      <c r="HR227"/>
      <c r="HS227"/>
      <c r="HT227"/>
      <c r="HU227"/>
      <c r="HV227"/>
      <c r="HW227"/>
      <c r="HX227"/>
      <c r="HY227"/>
      <c r="HZ227"/>
      <c r="IA227"/>
      <c r="IB227"/>
      <c r="IC227"/>
      <c r="ID227"/>
      <c r="IE227"/>
      <c r="IF227"/>
      <c r="IG227"/>
      <c r="IH227"/>
      <c r="II227"/>
      <c r="IJ227"/>
      <c r="IK227"/>
      <c r="IL227"/>
      <c r="IM227"/>
      <c r="IN227"/>
      <c r="IO227"/>
      <c r="IP227"/>
      <c r="IQ227"/>
      <c r="IR227"/>
      <c r="IS227"/>
      <c r="IT227"/>
      <c r="IU227"/>
      <c r="IV227"/>
      <c r="IW227"/>
      <c r="IX227"/>
      <c r="IY227"/>
      <c r="IZ227"/>
      <c r="JA227"/>
      <c r="JB227"/>
      <c r="JC227"/>
      <c r="JD227"/>
      <c r="JE227"/>
      <c r="JF227"/>
      <c r="JG227"/>
      <c r="JH227"/>
      <c r="JI227"/>
      <c r="JJ227"/>
      <c r="JK227"/>
      <c r="JL227"/>
      <c r="JM227"/>
      <c r="JN227"/>
      <c r="JO227"/>
      <c r="JP227"/>
      <c r="JQ227"/>
      <c r="JR227"/>
      <c r="JS227"/>
      <c r="JT227"/>
      <c r="JU227"/>
      <c r="JV227"/>
      <c r="JW227"/>
      <c r="JX227"/>
      <c r="JY227"/>
      <c r="JZ227"/>
      <c r="KA227"/>
      <c r="KB227"/>
      <c r="KC227"/>
      <c r="KD227"/>
      <c r="KE227"/>
      <c r="KF227"/>
      <c r="KG227"/>
      <c r="KH227"/>
      <c r="KI227"/>
      <c r="KJ227"/>
      <c r="KK227"/>
      <c r="KL227"/>
      <c r="KM227"/>
      <c r="KN227"/>
      <c r="KO227"/>
      <c r="KP227"/>
      <c r="KQ227"/>
      <c r="KR227"/>
      <c r="KS227"/>
    </row>
    <row r="228" spans="2:305" hidden="1" x14ac:dyDescent="0.25">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c r="GN228"/>
      <c r="GO228"/>
      <c r="GP228"/>
      <c r="GQ228"/>
      <c r="GR228"/>
      <c r="GS228"/>
      <c r="GT228"/>
      <c r="GU228"/>
      <c r="GV228"/>
      <c r="GW228"/>
      <c r="GX228"/>
      <c r="GY228"/>
      <c r="GZ228"/>
      <c r="HA228"/>
      <c r="HB228"/>
      <c r="HC228"/>
      <c r="HD228"/>
      <c r="HE228"/>
      <c r="HF228"/>
      <c r="HG228"/>
      <c r="HH228"/>
      <c r="HI228"/>
      <c r="HJ228"/>
      <c r="HK228"/>
      <c r="HL228"/>
      <c r="HM228"/>
      <c r="HN228"/>
      <c r="HO228"/>
      <c r="HP228"/>
      <c r="HQ228"/>
      <c r="HR228"/>
      <c r="HS228"/>
      <c r="HT228"/>
      <c r="HU228"/>
      <c r="HV228"/>
      <c r="HW228"/>
      <c r="HX228"/>
      <c r="HY228"/>
      <c r="HZ228"/>
      <c r="IA228"/>
      <c r="IB228"/>
      <c r="IC228"/>
      <c r="ID228"/>
      <c r="IE228"/>
      <c r="IF228"/>
      <c r="IG228"/>
      <c r="IH228"/>
      <c r="II228"/>
      <c r="IJ228"/>
      <c r="IK228"/>
      <c r="IL228"/>
      <c r="IM228"/>
      <c r="IN228"/>
      <c r="IO228"/>
      <c r="IP228"/>
      <c r="IQ228"/>
      <c r="IR228"/>
      <c r="IS228"/>
      <c r="IT228"/>
      <c r="IU228"/>
      <c r="IV228"/>
      <c r="IW228"/>
      <c r="IX228"/>
      <c r="IY228"/>
      <c r="IZ228"/>
      <c r="JA228"/>
      <c r="JB228"/>
      <c r="JC228"/>
      <c r="JD228"/>
      <c r="JE228"/>
      <c r="JF228"/>
      <c r="JG228"/>
      <c r="JH228"/>
      <c r="JI228"/>
      <c r="JJ228"/>
      <c r="JK228"/>
      <c r="JL228"/>
      <c r="JM228"/>
      <c r="JN228"/>
      <c r="JO228"/>
      <c r="JP228"/>
      <c r="JQ228"/>
      <c r="JR228"/>
      <c r="JS228"/>
      <c r="JT228"/>
      <c r="JU228"/>
      <c r="JV228"/>
      <c r="JW228"/>
      <c r="JX228"/>
      <c r="JY228"/>
      <c r="JZ228"/>
      <c r="KA228"/>
      <c r="KB228"/>
      <c r="KC228"/>
      <c r="KD228"/>
      <c r="KE228"/>
      <c r="KF228"/>
      <c r="KG228"/>
      <c r="KH228"/>
      <c r="KI228"/>
      <c r="KJ228"/>
      <c r="KK228"/>
      <c r="KL228"/>
      <c r="KM228"/>
      <c r="KN228"/>
      <c r="KO228"/>
      <c r="KP228"/>
      <c r="KQ228"/>
      <c r="KR228"/>
      <c r="KS228"/>
    </row>
    <row r="229" spans="2:305" hidden="1" x14ac:dyDescent="0.25">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c r="GN229"/>
      <c r="GO229"/>
      <c r="GP229"/>
      <c r="GQ229"/>
      <c r="GR229"/>
      <c r="GS229"/>
      <c r="GT229"/>
      <c r="GU229"/>
      <c r="GV229"/>
      <c r="GW229"/>
      <c r="GX229"/>
      <c r="GY229"/>
      <c r="GZ229"/>
      <c r="HA229"/>
      <c r="HB229"/>
      <c r="HC229"/>
      <c r="HD229"/>
      <c r="HE229"/>
      <c r="HF229"/>
      <c r="HG229"/>
      <c r="HH229"/>
      <c r="HI229"/>
      <c r="HJ229"/>
      <c r="HK229"/>
      <c r="HL229"/>
      <c r="HM229"/>
      <c r="HN229"/>
      <c r="HO229"/>
      <c r="HP229"/>
      <c r="HQ229"/>
      <c r="HR229"/>
      <c r="HS229"/>
      <c r="HT229"/>
      <c r="HU229"/>
      <c r="HV229"/>
      <c r="HW229"/>
      <c r="HX229"/>
      <c r="HY229"/>
      <c r="HZ229"/>
      <c r="IA229"/>
      <c r="IB229"/>
      <c r="IC229"/>
      <c r="ID229"/>
      <c r="IE229"/>
      <c r="IF229"/>
      <c r="IG229"/>
      <c r="IH229"/>
      <c r="II229"/>
      <c r="IJ229"/>
      <c r="IK229"/>
      <c r="IL229"/>
      <c r="IM229"/>
      <c r="IN229"/>
      <c r="IO229"/>
      <c r="IP229"/>
      <c r="IQ229"/>
      <c r="IR229"/>
      <c r="IS229"/>
      <c r="IT229"/>
      <c r="IU229"/>
      <c r="IV229"/>
      <c r="IW229"/>
      <c r="IX229"/>
      <c r="IY229"/>
      <c r="IZ229"/>
      <c r="JA229"/>
      <c r="JB229"/>
      <c r="JC229"/>
      <c r="JD229"/>
      <c r="JE229"/>
      <c r="JF229"/>
      <c r="JG229"/>
      <c r="JH229"/>
      <c r="JI229"/>
      <c r="JJ229"/>
      <c r="JK229"/>
      <c r="JL229"/>
      <c r="JM229"/>
      <c r="JN229"/>
      <c r="JO229"/>
      <c r="JP229"/>
      <c r="JQ229"/>
      <c r="JR229"/>
      <c r="JS229"/>
      <c r="JT229"/>
      <c r="JU229"/>
      <c r="JV229"/>
      <c r="JW229"/>
      <c r="JX229"/>
      <c r="JY229"/>
      <c r="JZ229"/>
      <c r="KA229"/>
      <c r="KB229"/>
      <c r="KC229"/>
      <c r="KD229"/>
      <c r="KE229"/>
      <c r="KF229"/>
      <c r="KG229"/>
      <c r="KH229"/>
      <c r="KI229"/>
      <c r="KJ229"/>
      <c r="KK229"/>
      <c r="KL229"/>
      <c r="KM229"/>
      <c r="KN229"/>
      <c r="KO229"/>
      <c r="KP229"/>
      <c r="KQ229"/>
      <c r="KR229"/>
      <c r="KS229"/>
    </row>
    <row r="230" spans="2:305" hidden="1" x14ac:dyDescent="0.25">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c r="GN230"/>
      <c r="GO230"/>
      <c r="GP230"/>
      <c r="GQ230"/>
      <c r="GR230"/>
      <c r="GS230"/>
      <c r="GT230"/>
      <c r="GU230"/>
      <c r="GV230"/>
      <c r="GW230"/>
      <c r="GX230"/>
      <c r="GY230"/>
      <c r="GZ230"/>
      <c r="HA230"/>
      <c r="HB230"/>
      <c r="HC230"/>
      <c r="HD230"/>
      <c r="HE230"/>
      <c r="HF230"/>
      <c r="HG230"/>
      <c r="HH230"/>
      <c r="HI230"/>
      <c r="HJ230"/>
      <c r="HK230"/>
      <c r="HL230"/>
      <c r="HM230"/>
      <c r="HN230"/>
      <c r="HO230"/>
      <c r="HP230"/>
      <c r="HQ230"/>
      <c r="HR230"/>
      <c r="HS230"/>
      <c r="HT230"/>
      <c r="HU230"/>
      <c r="HV230"/>
      <c r="HW230"/>
      <c r="HX230"/>
      <c r="HY230"/>
      <c r="HZ230"/>
      <c r="IA230"/>
      <c r="IB230"/>
      <c r="IC230"/>
      <c r="ID230"/>
      <c r="IE230"/>
      <c r="IF230"/>
      <c r="IG230"/>
      <c r="IH230"/>
      <c r="II230"/>
      <c r="IJ230"/>
      <c r="IK230"/>
      <c r="IL230"/>
      <c r="IM230"/>
      <c r="IN230"/>
      <c r="IO230"/>
      <c r="IP230"/>
      <c r="IQ230"/>
      <c r="IR230"/>
      <c r="IS230"/>
      <c r="IT230"/>
      <c r="IU230"/>
      <c r="IV230"/>
      <c r="IW230"/>
      <c r="IX230"/>
      <c r="IY230"/>
      <c r="IZ230"/>
      <c r="JA230"/>
      <c r="JB230"/>
      <c r="JC230"/>
      <c r="JD230"/>
      <c r="JE230"/>
      <c r="JF230"/>
      <c r="JG230"/>
      <c r="JH230"/>
      <c r="JI230"/>
      <c r="JJ230"/>
      <c r="JK230"/>
      <c r="JL230"/>
      <c r="JM230"/>
      <c r="JN230"/>
      <c r="JO230"/>
      <c r="JP230"/>
      <c r="JQ230"/>
      <c r="JR230"/>
      <c r="JS230"/>
      <c r="JT230"/>
      <c r="JU230"/>
      <c r="JV230"/>
      <c r="JW230"/>
      <c r="JX230"/>
      <c r="JY230"/>
      <c r="JZ230"/>
      <c r="KA230"/>
      <c r="KB230"/>
      <c r="KC230"/>
      <c r="KD230"/>
      <c r="KE230"/>
      <c r="KF230"/>
      <c r="KG230"/>
      <c r="KH230"/>
      <c r="KI230"/>
      <c r="KJ230"/>
      <c r="KK230"/>
      <c r="KL230"/>
      <c r="KM230"/>
      <c r="KN230"/>
      <c r="KO230"/>
      <c r="KP230"/>
      <c r="KQ230"/>
      <c r="KR230"/>
      <c r="KS230"/>
    </row>
    <row r="231" spans="2:305" hidden="1" x14ac:dyDescent="0.25">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c r="GN231"/>
      <c r="GO231"/>
      <c r="GP231"/>
      <c r="GQ231"/>
      <c r="GR231"/>
      <c r="GS231"/>
      <c r="GT231"/>
      <c r="GU231"/>
      <c r="GV231"/>
      <c r="GW231"/>
      <c r="GX231"/>
      <c r="GY231"/>
      <c r="GZ231"/>
      <c r="HA231"/>
      <c r="HB231"/>
      <c r="HC231"/>
      <c r="HD231"/>
      <c r="HE231"/>
      <c r="HF231"/>
      <c r="HG231"/>
      <c r="HH231"/>
      <c r="HI231"/>
      <c r="HJ231"/>
      <c r="HK231"/>
      <c r="HL231"/>
      <c r="HM231"/>
      <c r="HN231"/>
      <c r="HO231"/>
      <c r="HP231"/>
      <c r="HQ231"/>
      <c r="HR231"/>
      <c r="HS231"/>
      <c r="HT231"/>
      <c r="HU231"/>
      <c r="HV231"/>
      <c r="HW231"/>
      <c r="HX231"/>
      <c r="HY231"/>
      <c r="HZ231"/>
      <c r="IA231"/>
      <c r="IB231"/>
      <c r="IC231"/>
      <c r="ID231"/>
      <c r="IE231"/>
      <c r="IF231"/>
      <c r="IG231"/>
      <c r="IH231"/>
      <c r="II231"/>
      <c r="IJ231"/>
      <c r="IK231"/>
      <c r="IL231"/>
      <c r="IM231"/>
      <c r="IN231"/>
      <c r="IO231"/>
      <c r="IP231"/>
      <c r="IQ231"/>
      <c r="IR231"/>
      <c r="IS231"/>
      <c r="IT231"/>
      <c r="IU231"/>
      <c r="IV231"/>
      <c r="IW231"/>
      <c r="IX231"/>
      <c r="IY231"/>
      <c r="IZ231"/>
      <c r="JA231"/>
      <c r="JB231"/>
      <c r="JC231"/>
      <c r="JD231"/>
      <c r="JE231"/>
      <c r="JF231"/>
      <c r="JG231"/>
      <c r="JH231"/>
      <c r="JI231"/>
      <c r="JJ231"/>
      <c r="JK231"/>
      <c r="JL231"/>
      <c r="JM231"/>
      <c r="JN231"/>
      <c r="JO231"/>
      <c r="JP231"/>
      <c r="JQ231"/>
      <c r="JR231"/>
      <c r="JS231"/>
      <c r="JT231"/>
      <c r="JU231"/>
      <c r="JV231"/>
      <c r="JW231"/>
      <c r="JX231"/>
      <c r="JY231"/>
      <c r="JZ231"/>
      <c r="KA231"/>
      <c r="KB231"/>
      <c r="KC231"/>
      <c r="KD231"/>
      <c r="KE231"/>
      <c r="KF231"/>
      <c r="KG231"/>
      <c r="KH231"/>
      <c r="KI231"/>
      <c r="KJ231"/>
      <c r="KK231"/>
      <c r="KL231"/>
      <c r="KM231"/>
      <c r="KN231"/>
      <c r="KO231"/>
      <c r="KP231"/>
      <c r="KQ231"/>
      <c r="KR231"/>
      <c r="KS231"/>
    </row>
    <row r="232" spans="2:305" hidden="1" x14ac:dyDescent="0.25">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c r="GN232"/>
      <c r="GO232"/>
      <c r="GP232"/>
      <c r="GQ232"/>
      <c r="GR232"/>
      <c r="GS232"/>
      <c r="GT232"/>
      <c r="GU232"/>
      <c r="GV232"/>
      <c r="GW232"/>
      <c r="GX232"/>
      <c r="GY232"/>
      <c r="GZ232"/>
      <c r="HA232"/>
      <c r="HB232"/>
      <c r="HC232"/>
      <c r="HD232"/>
      <c r="HE232"/>
      <c r="HF232"/>
      <c r="HG232"/>
      <c r="HH232"/>
      <c r="HI232"/>
      <c r="HJ232"/>
      <c r="HK232"/>
      <c r="HL232"/>
      <c r="HM232"/>
      <c r="HN232"/>
      <c r="HO232"/>
      <c r="HP232"/>
      <c r="HQ232"/>
      <c r="HR232"/>
      <c r="HS232"/>
      <c r="HT232"/>
      <c r="HU232"/>
      <c r="HV232"/>
      <c r="HW232"/>
      <c r="HX232"/>
      <c r="HY232"/>
      <c r="HZ232"/>
      <c r="IA232"/>
      <c r="IB232"/>
      <c r="IC232"/>
      <c r="ID232"/>
      <c r="IE232"/>
      <c r="IF232"/>
      <c r="IG232"/>
      <c r="IH232"/>
      <c r="II232"/>
      <c r="IJ232"/>
      <c r="IK232"/>
      <c r="IL232"/>
      <c r="IM232"/>
      <c r="IN232"/>
      <c r="IO232"/>
      <c r="IP232"/>
      <c r="IQ232"/>
      <c r="IR232"/>
      <c r="IS232"/>
      <c r="IT232"/>
      <c r="IU232"/>
      <c r="IV232"/>
      <c r="IW232"/>
      <c r="IX232"/>
      <c r="IY232"/>
      <c r="IZ232"/>
      <c r="JA232"/>
      <c r="JB232"/>
      <c r="JC232"/>
      <c r="JD232"/>
      <c r="JE232"/>
      <c r="JF232"/>
      <c r="JG232"/>
      <c r="JH232"/>
      <c r="JI232"/>
      <c r="JJ232"/>
      <c r="JK232"/>
      <c r="JL232"/>
      <c r="JM232"/>
      <c r="JN232"/>
      <c r="JO232"/>
      <c r="JP232"/>
      <c r="JQ232"/>
      <c r="JR232"/>
      <c r="JS232"/>
      <c r="JT232"/>
      <c r="JU232"/>
      <c r="JV232"/>
      <c r="JW232"/>
      <c r="JX232"/>
      <c r="JY232"/>
      <c r="JZ232"/>
      <c r="KA232"/>
      <c r="KB232"/>
      <c r="KC232"/>
      <c r="KD232"/>
      <c r="KE232"/>
      <c r="KF232"/>
      <c r="KG232"/>
      <c r="KH232"/>
      <c r="KI232"/>
      <c r="KJ232"/>
      <c r="KK232"/>
      <c r="KL232"/>
      <c r="KM232"/>
      <c r="KN232"/>
      <c r="KO232"/>
      <c r="KP232"/>
      <c r="KQ232"/>
      <c r="KR232"/>
      <c r="KS232"/>
    </row>
    <row r="233" spans="2:305" hidden="1" x14ac:dyDescent="0.25">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c r="GN233"/>
      <c r="GO233"/>
      <c r="GP233"/>
      <c r="GQ233"/>
      <c r="GR233"/>
      <c r="GS233"/>
      <c r="GT233"/>
      <c r="GU233"/>
      <c r="GV233"/>
      <c r="GW233"/>
      <c r="GX233"/>
      <c r="GY233"/>
      <c r="GZ233"/>
      <c r="HA233"/>
      <c r="HB233"/>
      <c r="HC233"/>
      <c r="HD233"/>
      <c r="HE233"/>
      <c r="HF233"/>
      <c r="HG233"/>
      <c r="HH233"/>
      <c r="HI233"/>
      <c r="HJ233"/>
      <c r="HK233"/>
      <c r="HL233"/>
      <c r="HM233"/>
      <c r="HN233"/>
      <c r="HO233"/>
      <c r="HP233"/>
      <c r="HQ233"/>
      <c r="HR233"/>
      <c r="HS233"/>
      <c r="HT233"/>
      <c r="HU233"/>
      <c r="HV233"/>
      <c r="HW233"/>
      <c r="HX233"/>
      <c r="HY233"/>
      <c r="HZ233"/>
      <c r="IA233"/>
      <c r="IB233"/>
      <c r="IC233"/>
      <c r="ID233"/>
      <c r="IE233"/>
      <c r="IF233"/>
      <c r="IG233"/>
      <c r="IH233"/>
      <c r="II233"/>
      <c r="IJ233"/>
      <c r="IK233"/>
      <c r="IL233"/>
      <c r="IM233"/>
      <c r="IN233"/>
      <c r="IO233"/>
      <c r="IP233"/>
      <c r="IQ233"/>
      <c r="IR233"/>
      <c r="IS233"/>
      <c r="IT233"/>
      <c r="IU233"/>
      <c r="IV233"/>
      <c r="IW233"/>
      <c r="IX233"/>
      <c r="IY233"/>
      <c r="IZ233"/>
      <c r="JA233"/>
      <c r="JB233"/>
      <c r="JC233"/>
      <c r="JD233"/>
      <c r="JE233"/>
      <c r="JF233"/>
      <c r="JG233"/>
      <c r="JH233"/>
      <c r="JI233"/>
      <c r="JJ233"/>
      <c r="JK233"/>
      <c r="JL233"/>
      <c r="JM233"/>
      <c r="JN233"/>
      <c r="JO233"/>
      <c r="JP233"/>
      <c r="JQ233"/>
      <c r="JR233"/>
      <c r="JS233"/>
      <c r="JT233"/>
      <c r="JU233"/>
      <c r="JV233"/>
      <c r="JW233"/>
      <c r="JX233"/>
      <c r="JY233"/>
      <c r="JZ233"/>
      <c r="KA233"/>
      <c r="KB233"/>
      <c r="KC233"/>
      <c r="KD233"/>
      <c r="KE233"/>
      <c r="KF233"/>
      <c r="KG233"/>
      <c r="KH233"/>
      <c r="KI233"/>
      <c r="KJ233"/>
      <c r="KK233"/>
      <c r="KL233"/>
      <c r="KM233"/>
      <c r="KN233"/>
      <c r="KO233"/>
      <c r="KP233"/>
      <c r="KQ233"/>
      <c r="KR233"/>
      <c r="KS233"/>
    </row>
    <row r="234" spans="2:305" hidden="1" x14ac:dyDescent="0.25">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c r="GN234"/>
      <c r="GO234"/>
      <c r="GP234"/>
      <c r="GQ234"/>
      <c r="GR234"/>
      <c r="GS234"/>
      <c r="GT234"/>
      <c r="GU234"/>
      <c r="GV234"/>
      <c r="GW234"/>
      <c r="GX234"/>
      <c r="GY234"/>
      <c r="GZ234"/>
      <c r="HA234"/>
      <c r="HB234"/>
      <c r="HC234"/>
      <c r="HD234"/>
      <c r="HE234"/>
      <c r="HF234"/>
      <c r="HG234"/>
      <c r="HH234"/>
      <c r="HI234"/>
      <c r="HJ234"/>
      <c r="HK234"/>
      <c r="HL234"/>
      <c r="HM234"/>
      <c r="HN234"/>
      <c r="HO234"/>
      <c r="HP234"/>
      <c r="HQ234"/>
      <c r="HR234"/>
      <c r="HS234"/>
      <c r="HT234"/>
      <c r="HU234"/>
      <c r="HV234"/>
      <c r="HW234"/>
      <c r="HX234"/>
      <c r="HY234"/>
      <c r="HZ234"/>
      <c r="IA234"/>
      <c r="IB234"/>
      <c r="IC234"/>
      <c r="ID234"/>
      <c r="IE234"/>
      <c r="IF234"/>
      <c r="IG234"/>
      <c r="IH234"/>
      <c r="II234"/>
      <c r="IJ234"/>
      <c r="IK234"/>
      <c r="IL234"/>
      <c r="IM234"/>
      <c r="IN234"/>
      <c r="IO234"/>
      <c r="IP234"/>
      <c r="IQ234"/>
      <c r="IR234"/>
      <c r="IS234"/>
      <c r="IT234"/>
      <c r="IU234"/>
      <c r="IV234"/>
      <c r="IW234"/>
      <c r="IX234"/>
      <c r="IY234"/>
      <c r="IZ234"/>
      <c r="JA234"/>
      <c r="JB234"/>
      <c r="JC234"/>
      <c r="JD234"/>
      <c r="JE234"/>
      <c r="JF234"/>
      <c r="JG234"/>
      <c r="JH234"/>
      <c r="JI234"/>
      <c r="JJ234"/>
      <c r="JK234"/>
      <c r="JL234"/>
      <c r="JM234"/>
      <c r="JN234"/>
      <c r="JO234"/>
      <c r="JP234"/>
      <c r="JQ234"/>
      <c r="JR234"/>
      <c r="JS234"/>
      <c r="JT234"/>
      <c r="JU234"/>
      <c r="JV234"/>
      <c r="JW234"/>
      <c r="JX234"/>
      <c r="JY234"/>
      <c r="JZ234"/>
      <c r="KA234"/>
      <c r="KB234"/>
      <c r="KC234"/>
      <c r="KD234"/>
      <c r="KE234"/>
      <c r="KF234"/>
      <c r="KG234"/>
      <c r="KH234"/>
      <c r="KI234"/>
      <c r="KJ234"/>
      <c r="KK234"/>
      <c r="KL234"/>
      <c r="KM234"/>
      <c r="KN234"/>
      <c r="KO234"/>
      <c r="KP234"/>
      <c r="KQ234"/>
      <c r="KR234"/>
      <c r="KS234"/>
    </row>
    <row r="235" spans="2:305" hidden="1" x14ac:dyDescent="0.2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c r="GN235"/>
      <c r="GO235"/>
      <c r="GP235"/>
      <c r="GQ235"/>
      <c r="GR235"/>
      <c r="GS235"/>
      <c r="GT235"/>
      <c r="GU235"/>
      <c r="GV235"/>
      <c r="GW235"/>
      <c r="GX235"/>
      <c r="GY235"/>
      <c r="GZ235"/>
      <c r="HA235"/>
      <c r="HB235"/>
      <c r="HC235"/>
      <c r="HD235"/>
      <c r="HE235"/>
      <c r="HF235"/>
      <c r="HG235"/>
      <c r="HH235"/>
      <c r="HI235"/>
      <c r="HJ235"/>
      <c r="HK235"/>
      <c r="HL235"/>
      <c r="HM235"/>
      <c r="HN235"/>
      <c r="HO235"/>
      <c r="HP235"/>
      <c r="HQ235"/>
      <c r="HR235"/>
      <c r="HS235"/>
      <c r="HT235"/>
      <c r="HU235"/>
      <c r="HV235"/>
      <c r="HW235"/>
      <c r="HX235"/>
      <c r="HY235"/>
      <c r="HZ235"/>
      <c r="IA235"/>
      <c r="IB235"/>
      <c r="IC235"/>
      <c r="ID235"/>
      <c r="IE235"/>
      <c r="IF235"/>
      <c r="IG235"/>
      <c r="IH235"/>
      <c r="II235"/>
      <c r="IJ235"/>
      <c r="IK235"/>
      <c r="IL235"/>
      <c r="IM235"/>
      <c r="IN235"/>
      <c r="IO235"/>
      <c r="IP235"/>
      <c r="IQ235"/>
      <c r="IR235"/>
      <c r="IS235"/>
      <c r="IT235"/>
      <c r="IU235"/>
      <c r="IV235"/>
      <c r="IW235"/>
      <c r="IX235"/>
      <c r="IY235"/>
      <c r="IZ235"/>
      <c r="JA235"/>
      <c r="JB235"/>
      <c r="JC235"/>
      <c r="JD235"/>
      <c r="JE235"/>
      <c r="JF235"/>
      <c r="JG235"/>
      <c r="JH235"/>
      <c r="JI235"/>
      <c r="JJ235"/>
      <c r="JK235"/>
      <c r="JL235"/>
      <c r="JM235"/>
      <c r="JN235"/>
      <c r="JO235"/>
      <c r="JP235"/>
      <c r="JQ235"/>
      <c r="JR235"/>
      <c r="JS235"/>
      <c r="JT235"/>
      <c r="JU235"/>
      <c r="JV235"/>
      <c r="JW235"/>
      <c r="JX235"/>
      <c r="JY235"/>
      <c r="JZ235"/>
      <c r="KA235"/>
      <c r="KB235"/>
      <c r="KC235"/>
      <c r="KD235"/>
      <c r="KE235"/>
      <c r="KF235"/>
      <c r="KG235"/>
      <c r="KH235"/>
      <c r="KI235"/>
      <c r="KJ235"/>
      <c r="KK235"/>
      <c r="KL235"/>
      <c r="KM235"/>
      <c r="KN235"/>
      <c r="KO235"/>
      <c r="KP235"/>
      <c r="KQ235"/>
      <c r="KR235"/>
      <c r="KS235"/>
    </row>
    <row r="236" spans="2:305" hidden="1" x14ac:dyDescent="0.25">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c r="GN236"/>
      <c r="GO236"/>
      <c r="GP236"/>
      <c r="GQ236"/>
      <c r="GR236"/>
      <c r="GS236"/>
      <c r="GT236"/>
      <c r="GU236"/>
      <c r="GV236"/>
      <c r="GW236"/>
      <c r="GX236"/>
      <c r="GY236"/>
      <c r="GZ236"/>
      <c r="HA236"/>
      <c r="HB236"/>
      <c r="HC236"/>
      <c r="HD236"/>
      <c r="HE236"/>
      <c r="HF236"/>
      <c r="HG236"/>
      <c r="HH236"/>
      <c r="HI236"/>
      <c r="HJ236"/>
      <c r="HK236"/>
      <c r="HL236"/>
      <c r="HM236"/>
      <c r="HN236"/>
      <c r="HO236"/>
      <c r="HP236"/>
      <c r="HQ236"/>
      <c r="HR236"/>
      <c r="HS236"/>
      <c r="HT236"/>
      <c r="HU236"/>
      <c r="HV236"/>
      <c r="HW236"/>
      <c r="HX236"/>
      <c r="HY236"/>
      <c r="HZ236"/>
      <c r="IA236"/>
      <c r="IB236"/>
      <c r="IC236"/>
      <c r="ID236"/>
      <c r="IE236"/>
      <c r="IF236"/>
      <c r="IG236"/>
      <c r="IH236"/>
      <c r="II236"/>
      <c r="IJ236"/>
      <c r="IK236"/>
      <c r="IL236"/>
      <c r="IM236"/>
      <c r="IN236"/>
      <c r="IO236"/>
      <c r="IP236"/>
      <c r="IQ236"/>
      <c r="IR236"/>
      <c r="IS236"/>
      <c r="IT236"/>
      <c r="IU236"/>
      <c r="IV236"/>
      <c r="IW236"/>
      <c r="IX236"/>
      <c r="IY236"/>
      <c r="IZ236"/>
      <c r="JA236"/>
      <c r="JB236"/>
      <c r="JC236"/>
      <c r="JD236"/>
      <c r="JE236"/>
      <c r="JF236"/>
      <c r="JG236"/>
      <c r="JH236"/>
      <c r="JI236"/>
      <c r="JJ236"/>
      <c r="JK236"/>
      <c r="JL236"/>
      <c r="JM236"/>
      <c r="JN236"/>
      <c r="JO236"/>
      <c r="JP236"/>
      <c r="JQ236"/>
      <c r="JR236"/>
      <c r="JS236"/>
      <c r="JT236"/>
      <c r="JU236"/>
      <c r="JV236"/>
      <c r="JW236"/>
      <c r="JX236"/>
      <c r="JY236"/>
      <c r="JZ236"/>
      <c r="KA236"/>
      <c r="KB236"/>
      <c r="KC236"/>
      <c r="KD236"/>
      <c r="KE236"/>
      <c r="KF236"/>
      <c r="KG236"/>
      <c r="KH236"/>
      <c r="KI236"/>
      <c r="KJ236"/>
      <c r="KK236"/>
      <c r="KL236"/>
      <c r="KM236"/>
      <c r="KN236"/>
      <c r="KO236"/>
      <c r="KP236"/>
      <c r="KQ236"/>
      <c r="KR236"/>
      <c r="KS236"/>
    </row>
    <row r="237" spans="2:305" hidden="1" x14ac:dyDescent="0.25">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c r="GN237"/>
      <c r="GO237"/>
      <c r="GP237"/>
      <c r="GQ237"/>
      <c r="GR237"/>
      <c r="GS237"/>
      <c r="GT237"/>
      <c r="GU237"/>
      <c r="GV237"/>
      <c r="GW237"/>
      <c r="GX237"/>
      <c r="GY237"/>
      <c r="GZ237"/>
      <c r="HA237"/>
      <c r="HB237"/>
      <c r="HC237"/>
      <c r="HD237"/>
      <c r="HE237"/>
      <c r="HF237"/>
      <c r="HG237"/>
      <c r="HH237"/>
      <c r="HI237"/>
      <c r="HJ237"/>
      <c r="HK237"/>
      <c r="HL237"/>
      <c r="HM237"/>
      <c r="HN237"/>
      <c r="HO237"/>
      <c r="HP237"/>
      <c r="HQ237"/>
      <c r="HR237"/>
      <c r="HS237"/>
      <c r="HT237"/>
      <c r="HU237"/>
      <c r="HV237"/>
      <c r="HW237"/>
      <c r="HX237"/>
      <c r="HY237"/>
      <c r="HZ237"/>
      <c r="IA237"/>
      <c r="IB237"/>
      <c r="IC237"/>
      <c r="ID237"/>
      <c r="IE237"/>
      <c r="IF237"/>
      <c r="IG237"/>
      <c r="IH237"/>
      <c r="II237"/>
      <c r="IJ237"/>
      <c r="IK237"/>
      <c r="IL237"/>
      <c r="IM237"/>
      <c r="IN237"/>
      <c r="IO237"/>
      <c r="IP237"/>
      <c r="IQ237"/>
      <c r="IR237"/>
      <c r="IS237"/>
      <c r="IT237"/>
      <c r="IU237"/>
      <c r="IV237"/>
      <c r="IW237"/>
      <c r="IX237"/>
      <c r="IY237"/>
      <c r="IZ237"/>
      <c r="JA237"/>
      <c r="JB237"/>
      <c r="JC237"/>
      <c r="JD237"/>
      <c r="JE237"/>
      <c r="JF237"/>
      <c r="JG237"/>
      <c r="JH237"/>
      <c r="JI237"/>
      <c r="JJ237"/>
      <c r="JK237"/>
      <c r="JL237"/>
      <c r="JM237"/>
      <c r="JN237"/>
      <c r="JO237"/>
      <c r="JP237"/>
      <c r="JQ237"/>
      <c r="JR237"/>
      <c r="JS237"/>
      <c r="JT237"/>
      <c r="JU237"/>
      <c r="JV237"/>
      <c r="JW237"/>
      <c r="JX237"/>
      <c r="JY237"/>
      <c r="JZ237"/>
      <c r="KA237"/>
      <c r="KB237"/>
      <c r="KC237"/>
      <c r="KD237"/>
      <c r="KE237"/>
      <c r="KF237"/>
      <c r="KG237"/>
      <c r="KH237"/>
      <c r="KI237"/>
      <c r="KJ237"/>
      <c r="KK237"/>
      <c r="KL237"/>
      <c r="KM237"/>
      <c r="KN237"/>
      <c r="KO237"/>
      <c r="KP237"/>
      <c r="KQ237"/>
      <c r="KR237"/>
      <c r="KS237"/>
    </row>
    <row r="238" spans="2:305" hidden="1" x14ac:dyDescent="0.25">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c r="GN238"/>
      <c r="GO238"/>
      <c r="GP238"/>
      <c r="GQ238"/>
      <c r="GR238"/>
      <c r="GS238"/>
      <c r="GT238"/>
      <c r="GU238"/>
      <c r="GV238"/>
      <c r="GW238"/>
      <c r="GX238"/>
      <c r="GY238"/>
      <c r="GZ238"/>
      <c r="HA238"/>
      <c r="HB238"/>
      <c r="HC238"/>
      <c r="HD238"/>
      <c r="HE238"/>
      <c r="HF238"/>
      <c r="HG238"/>
      <c r="HH238"/>
      <c r="HI238"/>
      <c r="HJ238"/>
      <c r="HK238"/>
      <c r="HL238"/>
      <c r="HM238"/>
      <c r="HN238"/>
      <c r="HO238"/>
      <c r="HP238"/>
      <c r="HQ238"/>
      <c r="HR238"/>
      <c r="HS238"/>
      <c r="HT238"/>
      <c r="HU238"/>
      <c r="HV238"/>
      <c r="HW238"/>
      <c r="HX238"/>
      <c r="HY238"/>
      <c r="HZ238"/>
      <c r="IA238"/>
      <c r="IB238"/>
      <c r="IC238"/>
      <c r="ID238"/>
      <c r="IE238"/>
      <c r="IF238"/>
      <c r="IG238"/>
      <c r="IH238"/>
      <c r="II238"/>
      <c r="IJ238"/>
      <c r="IK238"/>
      <c r="IL238"/>
      <c r="IM238"/>
      <c r="IN238"/>
      <c r="IO238"/>
      <c r="IP238"/>
      <c r="IQ238"/>
      <c r="IR238"/>
      <c r="IS238"/>
      <c r="IT238"/>
      <c r="IU238"/>
      <c r="IV238"/>
      <c r="IW238"/>
      <c r="IX238"/>
      <c r="IY238"/>
      <c r="IZ238"/>
      <c r="JA238"/>
      <c r="JB238"/>
      <c r="JC238"/>
      <c r="JD238"/>
      <c r="JE238"/>
      <c r="JF238"/>
      <c r="JG238"/>
      <c r="JH238"/>
      <c r="JI238"/>
      <c r="JJ238"/>
      <c r="JK238"/>
      <c r="JL238"/>
      <c r="JM238"/>
      <c r="JN238"/>
      <c r="JO238"/>
      <c r="JP238"/>
      <c r="JQ238"/>
      <c r="JR238"/>
      <c r="JS238"/>
      <c r="JT238"/>
      <c r="JU238"/>
      <c r="JV238"/>
      <c r="JW238"/>
      <c r="JX238"/>
      <c r="JY238"/>
      <c r="JZ238"/>
      <c r="KA238"/>
      <c r="KB238"/>
      <c r="KC238"/>
      <c r="KD238"/>
      <c r="KE238"/>
      <c r="KF238"/>
      <c r="KG238"/>
      <c r="KH238"/>
      <c r="KI238"/>
      <c r="KJ238"/>
      <c r="KK238"/>
      <c r="KL238"/>
      <c r="KM238"/>
      <c r="KN238"/>
      <c r="KO238"/>
      <c r="KP238"/>
      <c r="KQ238"/>
      <c r="KR238"/>
      <c r="KS238"/>
    </row>
    <row r="239" spans="2:305" hidden="1" x14ac:dyDescent="0.25">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c r="GN239"/>
      <c r="GO239"/>
      <c r="GP239"/>
      <c r="GQ239"/>
      <c r="GR239"/>
      <c r="GS239"/>
      <c r="GT239"/>
      <c r="GU239"/>
      <c r="GV239"/>
      <c r="GW239"/>
      <c r="GX239"/>
      <c r="GY239"/>
      <c r="GZ239"/>
      <c r="HA239"/>
      <c r="HB239"/>
      <c r="HC239"/>
      <c r="HD239"/>
      <c r="HE239"/>
      <c r="HF239"/>
      <c r="HG239"/>
      <c r="HH239"/>
      <c r="HI239"/>
      <c r="HJ239"/>
      <c r="HK239"/>
      <c r="HL239"/>
      <c r="HM239"/>
      <c r="HN239"/>
      <c r="HO239"/>
      <c r="HP239"/>
      <c r="HQ239"/>
      <c r="HR239"/>
      <c r="HS239"/>
      <c r="HT239"/>
      <c r="HU239"/>
      <c r="HV239"/>
      <c r="HW239"/>
      <c r="HX239"/>
      <c r="HY239"/>
      <c r="HZ239"/>
      <c r="IA239"/>
      <c r="IB239"/>
      <c r="IC239"/>
      <c r="ID239"/>
      <c r="IE239"/>
      <c r="IF239"/>
      <c r="IG239"/>
      <c r="IH239"/>
      <c r="II239"/>
      <c r="IJ239"/>
      <c r="IK239"/>
      <c r="IL239"/>
      <c r="IM239"/>
      <c r="IN239"/>
      <c r="IO239"/>
      <c r="IP239"/>
      <c r="IQ239"/>
      <c r="IR239"/>
      <c r="IS239"/>
      <c r="IT239"/>
      <c r="IU239"/>
      <c r="IV239"/>
      <c r="IW239"/>
      <c r="IX239"/>
      <c r="IY239"/>
      <c r="IZ239"/>
      <c r="JA239"/>
      <c r="JB239"/>
      <c r="JC239"/>
      <c r="JD239"/>
      <c r="JE239"/>
      <c r="JF239"/>
      <c r="JG239"/>
      <c r="JH239"/>
      <c r="JI239"/>
      <c r="JJ239"/>
      <c r="JK239"/>
      <c r="JL239"/>
      <c r="JM239"/>
      <c r="JN239"/>
      <c r="JO239"/>
      <c r="JP239"/>
      <c r="JQ239"/>
      <c r="JR239"/>
      <c r="JS239"/>
      <c r="JT239"/>
      <c r="JU239"/>
      <c r="JV239"/>
      <c r="JW239"/>
      <c r="JX239"/>
      <c r="JY239"/>
      <c r="JZ239"/>
      <c r="KA239"/>
      <c r="KB239"/>
      <c r="KC239"/>
      <c r="KD239"/>
      <c r="KE239"/>
      <c r="KF239"/>
      <c r="KG239"/>
      <c r="KH239"/>
      <c r="KI239"/>
      <c r="KJ239"/>
      <c r="KK239"/>
      <c r="KL239"/>
      <c r="KM239"/>
      <c r="KN239"/>
      <c r="KO239"/>
      <c r="KP239"/>
      <c r="KQ239"/>
      <c r="KR239"/>
      <c r="KS239"/>
    </row>
    <row r="240" spans="2:305" hidden="1" x14ac:dyDescent="0.25">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c r="GN240"/>
      <c r="GO240"/>
      <c r="GP240"/>
      <c r="GQ240"/>
      <c r="GR240"/>
      <c r="GS240"/>
      <c r="GT240"/>
      <c r="GU240"/>
      <c r="GV240"/>
      <c r="GW240"/>
      <c r="GX240"/>
      <c r="GY240"/>
      <c r="GZ240"/>
      <c r="HA240"/>
      <c r="HB240"/>
      <c r="HC240"/>
      <c r="HD240"/>
      <c r="HE240"/>
      <c r="HF240"/>
      <c r="HG240"/>
      <c r="HH240"/>
      <c r="HI240"/>
      <c r="HJ240"/>
      <c r="HK240"/>
      <c r="HL240"/>
      <c r="HM240"/>
      <c r="HN240"/>
      <c r="HO240"/>
      <c r="HP240"/>
      <c r="HQ240"/>
      <c r="HR240"/>
      <c r="HS240"/>
      <c r="HT240"/>
      <c r="HU240"/>
      <c r="HV240"/>
      <c r="HW240"/>
      <c r="HX240"/>
      <c r="HY240"/>
      <c r="HZ240"/>
      <c r="IA240"/>
      <c r="IB240"/>
      <c r="IC240"/>
      <c r="ID240"/>
      <c r="IE240"/>
      <c r="IF240"/>
      <c r="IG240"/>
      <c r="IH240"/>
      <c r="II240"/>
      <c r="IJ240"/>
      <c r="IK240"/>
      <c r="IL240"/>
      <c r="IM240"/>
      <c r="IN240"/>
      <c r="IO240"/>
      <c r="IP240"/>
      <c r="IQ240"/>
      <c r="IR240"/>
      <c r="IS240"/>
      <c r="IT240"/>
      <c r="IU240"/>
      <c r="IV240"/>
      <c r="IW240"/>
      <c r="IX240"/>
      <c r="IY240"/>
      <c r="IZ240"/>
      <c r="JA240"/>
      <c r="JB240"/>
      <c r="JC240"/>
      <c r="JD240"/>
      <c r="JE240"/>
      <c r="JF240"/>
      <c r="JG240"/>
      <c r="JH240"/>
      <c r="JI240"/>
      <c r="JJ240"/>
      <c r="JK240"/>
      <c r="JL240"/>
      <c r="JM240"/>
      <c r="JN240"/>
      <c r="JO240"/>
      <c r="JP240"/>
      <c r="JQ240"/>
      <c r="JR240"/>
      <c r="JS240"/>
      <c r="JT240"/>
      <c r="JU240"/>
      <c r="JV240"/>
      <c r="JW240"/>
      <c r="JX240"/>
      <c r="JY240"/>
      <c r="JZ240"/>
      <c r="KA240"/>
      <c r="KB240"/>
      <c r="KC240"/>
      <c r="KD240"/>
      <c r="KE240"/>
      <c r="KF240"/>
      <c r="KG240"/>
      <c r="KH240"/>
      <c r="KI240"/>
      <c r="KJ240"/>
      <c r="KK240"/>
      <c r="KL240"/>
      <c r="KM240"/>
      <c r="KN240"/>
      <c r="KO240"/>
      <c r="KP240"/>
      <c r="KQ240"/>
      <c r="KR240"/>
      <c r="KS240"/>
    </row>
    <row r="241" spans="2:305" hidden="1" x14ac:dyDescent="0.25">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c r="FC241"/>
      <c r="FD241"/>
      <c r="FE241"/>
      <c r="FF241"/>
      <c r="FG241"/>
      <c r="FH241"/>
      <c r="FI241"/>
      <c r="FJ241"/>
      <c r="FK241"/>
      <c r="FL241"/>
      <c r="FM241"/>
      <c r="FN241"/>
      <c r="FO241"/>
      <c r="FP241"/>
      <c r="FQ241"/>
      <c r="FR241"/>
      <c r="FS241"/>
      <c r="FT241"/>
      <c r="FU241"/>
      <c r="FV241"/>
      <c r="FW241"/>
      <c r="FX241"/>
      <c r="FY241"/>
      <c r="FZ241"/>
      <c r="GA241"/>
      <c r="GB241"/>
      <c r="GC241"/>
      <c r="GD241"/>
      <c r="GE241"/>
      <c r="GF241"/>
      <c r="GG241"/>
      <c r="GH241"/>
      <c r="GI241"/>
      <c r="GJ241"/>
      <c r="GK241"/>
      <c r="GL241"/>
      <c r="GM241"/>
      <c r="GN241"/>
      <c r="GO241"/>
      <c r="GP241"/>
      <c r="GQ241"/>
      <c r="GR241"/>
      <c r="GS241"/>
      <c r="GT241"/>
      <c r="GU241"/>
      <c r="GV241"/>
      <c r="GW241"/>
      <c r="GX241"/>
      <c r="GY241"/>
      <c r="GZ241"/>
      <c r="HA241"/>
      <c r="HB241"/>
      <c r="HC241"/>
      <c r="HD241"/>
      <c r="HE241"/>
      <c r="HF241"/>
      <c r="HG241"/>
      <c r="HH241"/>
      <c r="HI241"/>
      <c r="HJ241"/>
      <c r="HK241"/>
      <c r="HL241"/>
      <c r="HM241"/>
      <c r="HN241"/>
      <c r="HO241"/>
      <c r="HP241"/>
      <c r="HQ241"/>
      <c r="HR241"/>
      <c r="HS241"/>
      <c r="HT241"/>
      <c r="HU241"/>
      <c r="HV241"/>
      <c r="HW241"/>
      <c r="HX241"/>
      <c r="HY241"/>
      <c r="HZ241"/>
      <c r="IA241"/>
      <c r="IB241"/>
      <c r="IC241"/>
      <c r="ID241"/>
      <c r="IE241"/>
      <c r="IF241"/>
      <c r="IG241"/>
      <c r="IH241"/>
      <c r="II241"/>
      <c r="IJ241"/>
      <c r="IK241"/>
      <c r="IL241"/>
      <c r="IM241"/>
      <c r="IN241"/>
      <c r="IO241"/>
      <c r="IP241"/>
      <c r="IQ241"/>
      <c r="IR241"/>
      <c r="IS241"/>
      <c r="IT241"/>
      <c r="IU241"/>
      <c r="IV241"/>
      <c r="IW241"/>
      <c r="IX241"/>
      <c r="IY241"/>
      <c r="IZ241"/>
      <c r="JA241"/>
      <c r="JB241"/>
      <c r="JC241"/>
      <c r="JD241"/>
      <c r="JE241"/>
      <c r="JF241"/>
      <c r="JG241"/>
      <c r="JH241"/>
      <c r="JI241"/>
      <c r="JJ241"/>
      <c r="JK241"/>
      <c r="JL241"/>
      <c r="JM241"/>
      <c r="JN241"/>
      <c r="JO241"/>
      <c r="JP241"/>
      <c r="JQ241"/>
      <c r="JR241"/>
      <c r="JS241"/>
      <c r="JT241"/>
      <c r="JU241"/>
      <c r="JV241"/>
      <c r="JW241"/>
      <c r="JX241"/>
      <c r="JY241"/>
      <c r="JZ241"/>
      <c r="KA241"/>
      <c r="KB241"/>
      <c r="KC241"/>
      <c r="KD241"/>
      <c r="KE241"/>
      <c r="KF241"/>
      <c r="KG241"/>
      <c r="KH241"/>
      <c r="KI241"/>
      <c r="KJ241"/>
      <c r="KK241"/>
      <c r="KL241"/>
      <c r="KM241"/>
      <c r="KN241"/>
      <c r="KO241"/>
      <c r="KP241"/>
      <c r="KQ241"/>
      <c r="KR241"/>
      <c r="KS241"/>
    </row>
    <row r="242" spans="2:305" hidden="1" x14ac:dyDescent="0.25">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c r="FC242"/>
      <c r="FD242"/>
      <c r="FE242"/>
      <c r="FF242"/>
      <c r="FG242"/>
      <c r="FH242"/>
      <c r="FI242"/>
      <c r="FJ242"/>
      <c r="FK242"/>
      <c r="FL242"/>
      <c r="FM242"/>
      <c r="FN242"/>
      <c r="FO242"/>
      <c r="FP242"/>
      <c r="FQ242"/>
      <c r="FR242"/>
      <c r="FS242"/>
      <c r="FT242"/>
      <c r="FU242"/>
      <c r="FV242"/>
      <c r="FW242"/>
      <c r="FX242"/>
      <c r="FY242"/>
      <c r="FZ242"/>
      <c r="GA242"/>
      <c r="GB242"/>
      <c r="GC242"/>
      <c r="GD242"/>
      <c r="GE242"/>
      <c r="GF242"/>
      <c r="GG242"/>
      <c r="GH242"/>
      <c r="GI242"/>
      <c r="GJ242"/>
      <c r="GK242"/>
      <c r="GL242"/>
      <c r="GM242"/>
      <c r="GN242"/>
      <c r="GO242"/>
      <c r="GP242"/>
      <c r="GQ242"/>
      <c r="GR242"/>
      <c r="GS242"/>
      <c r="GT242"/>
      <c r="GU242"/>
      <c r="GV242"/>
      <c r="GW242"/>
      <c r="GX242"/>
      <c r="GY242"/>
      <c r="GZ242"/>
      <c r="HA242"/>
      <c r="HB242"/>
      <c r="HC242"/>
      <c r="HD242"/>
      <c r="HE242"/>
      <c r="HF242"/>
      <c r="HG242"/>
      <c r="HH242"/>
      <c r="HI242"/>
      <c r="HJ242"/>
      <c r="HK242"/>
      <c r="HL242"/>
      <c r="HM242"/>
      <c r="HN242"/>
      <c r="HO242"/>
      <c r="HP242"/>
      <c r="HQ242"/>
      <c r="HR242"/>
      <c r="HS242"/>
      <c r="HT242"/>
      <c r="HU242"/>
      <c r="HV242"/>
      <c r="HW242"/>
      <c r="HX242"/>
      <c r="HY242"/>
      <c r="HZ242"/>
      <c r="IA242"/>
      <c r="IB242"/>
      <c r="IC242"/>
      <c r="ID242"/>
      <c r="IE242"/>
      <c r="IF242"/>
      <c r="IG242"/>
      <c r="IH242"/>
      <c r="II242"/>
      <c r="IJ242"/>
      <c r="IK242"/>
      <c r="IL242"/>
      <c r="IM242"/>
      <c r="IN242"/>
      <c r="IO242"/>
      <c r="IP242"/>
      <c r="IQ242"/>
      <c r="IR242"/>
      <c r="IS242"/>
      <c r="IT242"/>
      <c r="IU242"/>
      <c r="IV242"/>
      <c r="IW242"/>
      <c r="IX242"/>
      <c r="IY242"/>
      <c r="IZ242"/>
      <c r="JA242"/>
      <c r="JB242"/>
      <c r="JC242"/>
      <c r="JD242"/>
      <c r="JE242"/>
      <c r="JF242"/>
      <c r="JG242"/>
      <c r="JH242"/>
      <c r="JI242"/>
      <c r="JJ242"/>
      <c r="JK242"/>
      <c r="JL242"/>
      <c r="JM242"/>
      <c r="JN242"/>
      <c r="JO242"/>
      <c r="JP242"/>
      <c r="JQ242"/>
      <c r="JR242"/>
      <c r="JS242"/>
      <c r="JT242"/>
      <c r="JU242"/>
      <c r="JV242"/>
      <c r="JW242"/>
      <c r="JX242"/>
      <c r="JY242"/>
      <c r="JZ242"/>
      <c r="KA242"/>
      <c r="KB242"/>
      <c r="KC242"/>
      <c r="KD242"/>
      <c r="KE242"/>
      <c r="KF242"/>
      <c r="KG242"/>
      <c r="KH242"/>
      <c r="KI242"/>
      <c r="KJ242"/>
      <c r="KK242"/>
      <c r="KL242"/>
      <c r="KM242"/>
      <c r="KN242"/>
      <c r="KO242"/>
      <c r="KP242"/>
      <c r="KQ242"/>
      <c r="KR242"/>
      <c r="KS242"/>
    </row>
    <row r="243" spans="2:305" hidden="1" x14ac:dyDescent="0.25">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c r="FD243"/>
      <c r="FE243"/>
      <c r="FF243"/>
      <c r="FG243"/>
      <c r="FH243"/>
      <c r="FI243"/>
      <c r="FJ243"/>
      <c r="FK243"/>
      <c r="FL243"/>
      <c r="FM243"/>
      <c r="FN243"/>
      <c r="FO243"/>
      <c r="FP243"/>
      <c r="FQ243"/>
      <c r="FR243"/>
      <c r="FS243"/>
      <c r="FT243"/>
      <c r="FU243"/>
      <c r="FV243"/>
      <c r="FW243"/>
      <c r="FX243"/>
      <c r="FY243"/>
      <c r="FZ243"/>
      <c r="GA243"/>
      <c r="GB243"/>
      <c r="GC243"/>
      <c r="GD243"/>
      <c r="GE243"/>
      <c r="GF243"/>
      <c r="GG243"/>
      <c r="GH243"/>
      <c r="GI243"/>
      <c r="GJ243"/>
      <c r="GK243"/>
      <c r="GL243"/>
      <c r="GM243"/>
      <c r="GN243"/>
      <c r="GO243"/>
      <c r="GP243"/>
      <c r="GQ243"/>
      <c r="GR243"/>
      <c r="GS243"/>
      <c r="GT243"/>
      <c r="GU243"/>
      <c r="GV243"/>
      <c r="GW243"/>
      <c r="GX243"/>
      <c r="GY243"/>
      <c r="GZ243"/>
      <c r="HA243"/>
      <c r="HB243"/>
      <c r="HC243"/>
      <c r="HD243"/>
      <c r="HE243"/>
      <c r="HF243"/>
      <c r="HG243"/>
      <c r="HH243"/>
      <c r="HI243"/>
      <c r="HJ243"/>
      <c r="HK243"/>
      <c r="HL243"/>
      <c r="HM243"/>
      <c r="HN243"/>
      <c r="HO243"/>
      <c r="HP243"/>
      <c r="HQ243"/>
      <c r="HR243"/>
      <c r="HS243"/>
      <c r="HT243"/>
      <c r="HU243"/>
      <c r="HV243"/>
      <c r="HW243"/>
      <c r="HX243"/>
      <c r="HY243"/>
      <c r="HZ243"/>
      <c r="IA243"/>
      <c r="IB243"/>
      <c r="IC243"/>
      <c r="ID243"/>
      <c r="IE243"/>
      <c r="IF243"/>
      <c r="IG243"/>
      <c r="IH243"/>
      <c r="II243"/>
      <c r="IJ243"/>
      <c r="IK243"/>
      <c r="IL243"/>
      <c r="IM243"/>
      <c r="IN243"/>
      <c r="IO243"/>
      <c r="IP243"/>
      <c r="IQ243"/>
      <c r="IR243"/>
      <c r="IS243"/>
      <c r="IT243"/>
      <c r="IU243"/>
      <c r="IV243"/>
      <c r="IW243"/>
      <c r="IX243"/>
      <c r="IY243"/>
      <c r="IZ243"/>
      <c r="JA243"/>
      <c r="JB243"/>
      <c r="JC243"/>
      <c r="JD243"/>
      <c r="JE243"/>
      <c r="JF243"/>
      <c r="JG243"/>
      <c r="JH243"/>
      <c r="JI243"/>
      <c r="JJ243"/>
      <c r="JK243"/>
      <c r="JL243"/>
      <c r="JM243"/>
      <c r="JN243"/>
      <c r="JO243"/>
      <c r="JP243"/>
      <c r="JQ243"/>
      <c r="JR243"/>
      <c r="JS243"/>
      <c r="JT243"/>
      <c r="JU243"/>
      <c r="JV243"/>
      <c r="JW243"/>
      <c r="JX243"/>
      <c r="JY243"/>
      <c r="JZ243"/>
      <c r="KA243"/>
      <c r="KB243"/>
      <c r="KC243"/>
      <c r="KD243"/>
      <c r="KE243"/>
      <c r="KF243"/>
      <c r="KG243"/>
      <c r="KH243"/>
      <c r="KI243"/>
      <c r="KJ243"/>
      <c r="KK243"/>
      <c r="KL243"/>
      <c r="KM243"/>
      <c r="KN243"/>
      <c r="KO243"/>
      <c r="KP243"/>
      <c r="KQ243"/>
      <c r="KR243"/>
      <c r="KS243"/>
    </row>
    <row r="244" spans="2:305" hidden="1" x14ac:dyDescent="0.25">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c r="FC244"/>
      <c r="FD244"/>
      <c r="FE244"/>
      <c r="FF244"/>
      <c r="FG244"/>
      <c r="FH244"/>
      <c r="FI244"/>
      <c r="FJ244"/>
      <c r="FK244"/>
      <c r="FL244"/>
      <c r="FM244"/>
      <c r="FN244"/>
      <c r="FO244"/>
      <c r="FP244"/>
      <c r="FQ244"/>
      <c r="FR244"/>
      <c r="FS244"/>
      <c r="FT244"/>
      <c r="FU244"/>
      <c r="FV244"/>
      <c r="FW244"/>
      <c r="FX244"/>
      <c r="FY244"/>
      <c r="FZ244"/>
      <c r="GA244"/>
      <c r="GB244"/>
      <c r="GC244"/>
      <c r="GD244"/>
      <c r="GE244"/>
      <c r="GF244"/>
      <c r="GG244"/>
      <c r="GH244"/>
      <c r="GI244"/>
      <c r="GJ244"/>
      <c r="GK244"/>
      <c r="GL244"/>
      <c r="GM244"/>
      <c r="GN244"/>
      <c r="GO244"/>
      <c r="GP244"/>
      <c r="GQ244"/>
      <c r="GR244"/>
      <c r="GS244"/>
      <c r="GT244"/>
      <c r="GU244"/>
      <c r="GV244"/>
      <c r="GW244"/>
      <c r="GX244"/>
      <c r="GY244"/>
      <c r="GZ244"/>
      <c r="HA244"/>
      <c r="HB244"/>
      <c r="HC244"/>
      <c r="HD244"/>
      <c r="HE244"/>
      <c r="HF244"/>
      <c r="HG244"/>
      <c r="HH244"/>
      <c r="HI244"/>
      <c r="HJ244"/>
      <c r="HK244"/>
      <c r="HL244"/>
      <c r="HM244"/>
      <c r="HN244"/>
      <c r="HO244"/>
      <c r="HP244"/>
      <c r="HQ244"/>
      <c r="HR244"/>
      <c r="HS244"/>
      <c r="HT244"/>
      <c r="HU244"/>
      <c r="HV244"/>
      <c r="HW244"/>
      <c r="HX244"/>
      <c r="HY244"/>
      <c r="HZ244"/>
      <c r="IA244"/>
      <c r="IB244"/>
      <c r="IC244"/>
      <c r="ID244"/>
      <c r="IE244"/>
      <c r="IF244"/>
      <c r="IG244"/>
      <c r="IH244"/>
      <c r="II244"/>
      <c r="IJ244"/>
      <c r="IK244"/>
      <c r="IL244"/>
      <c r="IM244"/>
      <c r="IN244"/>
      <c r="IO244"/>
      <c r="IP244"/>
      <c r="IQ244"/>
      <c r="IR244"/>
      <c r="IS244"/>
      <c r="IT244"/>
      <c r="IU244"/>
      <c r="IV244"/>
      <c r="IW244"/>
      <c r="IX244"/>
      <c r="IY244"/>
      <c r="IZ244"/>
      <c r="JA244"/>
      <c r="JB244"/>
      <c r="JC244"/>
      <c r="JD244"/>
      <c r="JE244"/>
      <c r="JF244"/>
      <c r="JG244"/>
      <c r="JH244"/>
      <c r="JI244"/>
      <c r="JJ244"/>
      <c r="JK244"/>
      <c r="JL244"/>
      <c r="JM244"/>
      <c r="JN244"/>
      <c r="JO244"/>
      <c r="JP244"/>
      <c r="JQ244"/>
      <c r="JR244"/>
      <c r="JS244"/>
      <c r="JT244"/>
      <c r="JU244"/>
      <c r="JV244"/>
      <c r="JW244"/>
      <c r="JX244"/>
      <c r="JY244"/>
      <c r="JZ244"/>
      <c r="KA244"/>
      <c r="KB244"/>
      <c r="KC244"/>
      <c r="KD244"/>
      <c r="KE244"/>
      <c r="KF244"/>
      <c r="KG244"/>
      <c r="KH244"/>
      <c r="KI244"/>
      <c r="KJ244"/>
      <c r="KK244"/>
      <c r="KL244"/>
      <c r="KM244"/>
      <c r="KN244"/>
      <c r="KO244"/>
      <c r="KP244"/>
      <c r="KQ244"/>
      <c r="KR244"/>
      <c r="KS244"/>
    </row>
    <row r="245" spans="2:305" hidden="1" x14ac:dyDescent="0.2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c r="FC245"/>
      <c r="FD245"/>
      <c r="FE245"/>
      <c r="FF245"/>
      <c r="FG245"/>
      <c r="FH245"/>
      <c r="FI245"/>
      <c r="FJ245"/>
      <c r="FK245"/>
      <c r="FL245"/>
      <c r="FM245"/>
      <c r="FN245"/>
      <c r="FO245"/>
      <c r="FP245"/>
      <c r="FQ245"/>
      <c r="FR245"/>
      <c r="FS245"/>
      <c r="FT245"/>
      <c r="FU245"/>
      <c r="FV245"/>
      <c r="FW245"/>
      <c r="FX245"/>
      <c r="FY245"/>
      <c r="FZ245"/>
      <c r="GA245"/>
      <c r="GB245"/>
      <c r="GC245"/>
      <c r="GD245"/>
      <c r="GE245"/>
      <c r="GF245"/>
      <c r="GG245"/>
      <c r="GH245"/>
      <c r="GI245"/>
      <c r="GJ245"/>
      <c r="GK245"/>
      <c r="GL245"/>
      <c r="GM245"/>
      <c r="GN245"/>
      <c r="GO245"/>
      <c r="GP245"/>
      <c r="GQ245"/>
      <c r="GR245"/>
      <c r="GS245"/>
      <c r="GT245"/>
      <c r="GU245"/>
      <c r="GV245"/>
      <c r="GW245"/>
      <c r="GX245"/>
      <c r="GY245"/>
      <c r="GZ245"/>
      <c r="HA245"/>
      <c r="HB245"/>
      <c r="HC245"/>
      <c r="HD245"/>
      <c r="HE245"/>
      <c r="HF245"/>
      <c r="HG245"/>
      <c r="HH245"/>
      <c r="HI245"/>
      <c r="HJ245"/>
      <c r="HK245"/>
      <c r="HL245"/>
      <c r="HM245"/>
      <c r="HN245"/>
      <c r="HO245"/>
      <c r="HP245"/>
      <c r="HQ245"/>
      <c r="HR245"/>
      <c r="HS245"/>
      <c r="HT245"/>
      <c r="HU245"/>
      <c r="HV245"/>
      <c r="HW245"/>
      <c r="HX245"/>
      <c r="HY245"/>
      <c r="HZ245"/>
      <c r="IA245"/>
      <c r="IB245"/>
      <c r="IC245"/>
      <c r="ID245"/>
      <c r="IE245"/>
      <c r="IF245"/>
      <c r="IG245"/>
      <c r="IH245"/>
      <c r="II245"/>
      <c r="IJ245"/>
      <c r="IK245"/>
      <c r="IL245"/>
      <c r="IM245"/>
      <c r="IN245"/>
      <c r="IO245"/>
      <c r="IP245"/>
      <c r="IQ245"/>
      <c r="IR245"/>
      <c r="IS245"/>
      <c r="IT245"/>
      <c r="IU245"/>
      <c r="IV245"/>
      <c r="IW245"/>
      <c r="IX245"/>
      <c r="IY245"/>
      <c r="IZ245"/>
      <c r="JA245"/>
      <c r="JB245"/>
      <c r="JC245"/>
      <c r="JD245"/>
      <c r="JE245"/>
      <c r="JF245"/>
      <c r="JG245"/>
      <c r="JH245"/>
      <c r="JI245"/>
      <c r="JJ245"/>
      <c r="JK245"/>
      <c r="JL245"/>
      <c r="JM245"/>
      <c r="JN245"/>
      <c r="JO245"/>
      <c r="JP245"/>
      <c r="JQ245"/>
      <c r="JR245"/>
      <c r="JS245"/>
      <c r="JT245"/>
      <c r="JU245"/>
      <c r="JV245"/>
      <c r="JW245"/>
      <c r="JX245"/>
      <c r="JY245"/>
      <c r="JZ245"/>
      <c r="KA245"/>
      <c r="KB245"/>
      <c r="KC245"/>
      <c r="KD245"/>
      <c r="KE245"/>
      <c r="KF245"/>
      <c r="KG245"/>
      <c r="KH245"/>
      <c r="KI245"/>
      <c r="KJ245"/>
      <c r="KK245"/>
      <c r="KL245"/>
      <c r="KM245"/>
      <c r="KN245"/>
      <c r="KO245"/>
      <c r="KP245"/>
      <c r="KQ245"/>
      <c r="KR245"/>
      <c r="KS245"/>
    </row>
    <row r="246" spans="2:305" hidden="1" x14ac:dyDescent="0.25">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c r="FC246"/>
      <c r="FD246"/>
      <c r="FE246"/>
      <c r="FF246"/>
      <c r="FG246"/>
      <c r="FH246"/>
      <c r="FI246"/>
      <c r="FJ246"/>
      <c r="FK246"/>
      <c r="FL246"/>
      <c r="FM246"/>
      <c r="FN246"/>
      <c r="FO246"/>
      <c r="FP246"/>
      <c r="FQ246"/>
      <c r="FR246"/>
      <c r="FS246"/>
      <c r="FT246"/>
      <c r="FU246"/>
      <c r="FV246"/>
      <c r="FW246"/>
      <c r="FX246"/>
      <c r="FY246"/>
      <c r="FZ246"/>
      <c r="GA246"/>
      <c r="GB246"/>
      <c r="GC246"/>
      <c r="GD246"/>
      <c r="GE246"/>
      <c r="GF246"/>
      <c r="GG246"/>
      <c r="GH246"/>
      <c r="GI246"/>
      <c r="GJ246"/>
      <c r="GK246"/>
      <c r="GL246"/>
      <c r="GM246"/>
      <c r="GN246"/>
      <c r="GO246"/>
      <c r="GP246"/>
      <c r="GQ246"/>
      <c r="GR246"/>
      <c r="GS246"/>
      <c r="GT246"/>
      <c r="GU246"/>
      <c r="GV246"/>
      <c r="GW246"/>
      <c r="GX246"/>
      <c r="GY246"/>
      <c r="GZ246"/>
      <c r="HA246"/>
      <c r="HB246"/>
      <c r="HC246"/>
      <c r="HD246"/>
      <c r="HE246"/>
      <c r="HF246"/>
      <c r="HG246"/>
      <c r="HH246"/>
      <c r="HI246"/>
      <c r="HJ246"/>
      <c r="HK246"/>
      <c r="HL246"/>
      <c r="HM246"/>
      <c r="HN246"/>
      <c r="HO246"/>
      <c r="HP246"/>
      <c r="HQ246"/>
      <c r="HR246"/>
      <c r="HS246"/>
      <c r="HT246"/>
      <c r="HU246"/>
      <c r="HV246"/>
      <c r="HW246"/>
      <c r="HX246"/>
      <c r="HY246"/>
      <c r="HZ246"/>
      <c r="IA246"/>
      <c r="IB246"/>
      <c r="IC246"/>
      <c r="ID246"/>
      <c r="IE246"/>
      <c r="IF246"/>
      <c r="IG246"/>
      <c r="IH246"/>
      <c r="II246"/>
      <c r="IJ246"/>
      <c r="IK246"/>
      <c r="IL246"/>
      <c r="IM246"/>
      <c r="IN246"/>
      <c r="IO246"/>
      <c r="IP246"/>
      <c r="IQ246"/>
      <c r="IR246"/>
      <c r="IS246"/>
      <c r="IT246"/>
      <c r="IU246"/>
      <c r="IV246"/>
      <c r="IW246"/>
      <c r="IX246"/>
      <c r="IY246"/>
      <c r="IZ246"/>
      <c r="JA246"/>
      <c r="JB246"/>
      <c r="JC246"/>
      <c r="JD246"/>
      <c r="JE246"/>
      <c r="JF246"/>
      <c r="JG246"/>
      <c r="JH246"/>
      <c r="JI246"/>
      <c r="JJ246"/>
      <c r="JK246"/>
      <c r="JL246"/>
      <c r="JM246"/>
      <c r="JN246"/>
      <c r="JO246"/>
      <c r="JP246"/>
      <c r="JQ246"/>
      <c r="JR246"/>
      <c r="JS246"/>
      <c r="JT246"/>
      <c r="JU246"/>
      <c r="JV246"/>
      <c r="JW246"/>
      <c r="JX246"/>
      <c r="JY246"/>
      <c r="JZ246"/>
      <c r="KA246"/>
      <c r="KB246"/>
      <c r="KC246"/>
      <c r="KD246"/>
      <c r="KE246"/>
      <c r="KF246"/>
      <c r="KG246"/>
      <c r="KH246"/>
      <c r="KI246"/>
      <c r="KJ246"/>
      <c r="KK246"/>
      <c r="KL246"/>
      <c r="KM246"/>
      <c r="KN246"/>
      <c r="KO246"/>
      <c r="KP246"/>
      <c r="KQ246"/>
      <c r="KR246"/>
      <c r="KS246"/>
    </row>
    <row r="247" spans="2:305" hidden="1" x14ac:dyDescent="0.25">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c r="FC247"/>
      <c r="FD247"/>
      <c r="FE247"/>
      <c r="FF247"/>
      <c r="FG247"/>
      <c r="FH247"/>
      <c r="FI247"/>
      <c r="FJ247"/>
      <c r="FK247"/>
      <c r="FL247"/>
      <c r="FM247"/>
      <c r="FN247"/>
      <c r="FO247"/>
      <c r="FP247"/>
      <c r="FQ247"/>
      <c r="FR247"/>
      <c r="FS247"/>
      <c r="FT247"/>
      <c r="FU247"/>
      <c r="FV247"/>
      <c r="FW247"/>
      <c r="FX247"/>
      <c r="FY247"/>
      <c r="FZ247"/>
      <c r="GA247"/>
      <c r="GB247"/>
      <c r="GC247"/>
      <c r="GD247"/>
      <c r="GE247"/>
      <c r="GF247"/>
      <c r="GG247"/>
      <c r="GH247"/>
      <c r="GI247"/>
      <c r="GJ247"/>
      <c r="GK247"/>
      <c r="GL247"/>
      <c r="GM247"/>
      <c r="GN247"/>
      <c r="GO247"/>
      <c r="GP247"/>
      <c r="GQ247"/>
      <c r="GR247"/>
      <c r="GS247"/>
      <c r="GT247"/>
      <c r="GU247"/>
      <c r="GV247"/>
      <c r="GW247"/>
      <c r="GX247"/>
      <c r="GY247"/>
      <c r="GZ247"/>
      <c r="HA247"/>
      <c r="HB247"/>
      <c r="HC247"/>
      <c r="HD247"/>
      <c r="HE247"/>
      <c r="HF247"/>
      <c r="HG247"/>
      <c r="HH247"/>
      <c r="HI247"/>
      <c r="HJ247"/>
      <c r="HK247"/>
      <c r="HL247"/>
      <c r="HM247"/>
      <c r="HN247"/>
      <c r="HO247"/>
      <c r="HP247"/>
      <c r="HQ247"/>
      <c r="HR247"/>
      <c r="HS247"/>
      <c r="HT247"/>
      <c r="HU247"/>
      <c r="HV247"/>
      <c r="HW247"/>
      <c r="HX247"/>
      <c r="HY247"/>
      <c r="HZ247"/>
      <c r="IA247"/>
      <c r="IB247"/>
      <c r="IC247"/>
      <c r="ID247"/>
      <c r="IE247"/>
      <c r="IF247"/>
      <c r="IG247"/>
      <c r="IH247"/>
      <c r="II247"/>
      <c r="IJ247"/>
      <c r="IK247"/>
      <c r="IL247"/>
      <c r="IM247"/>
      <c r="IN247"/>
      <c r="IO247"/>
      <c r="IP247"/>
      <c r="IQ247"/>
      <c r="IR247"/>
      <c r="IS247"/>
      <c r="IT247"/>
      <c r="IU247"/>
      <c r="IV247"/>
      <c r="IW247"/>
      <c r="IX247"/>
      <c r="IY247"/>
      <c r="IZ247"/>
      <c r="JA247"/>
      <c r="JB247"/>
      <c r="JC247"/>
      <c r="JD247"/>
      <c r="JE247"/>
      <c r="JF247"/>
      <c r="JG247"/>
      <c r="JH247"/>
      <c r="JI247"/>
      <c r="JJ247"/>
      <c r="JK247"/>
      <c r="JL247"/>
      <c r="JM247"/>
      <c r="JN247"/>
      <c r="JO247"/>
      <c r="JP247"/>
      <c r="JQ247"/>
      <c r="JR247"/>
      <c r="JS247"/>
      <c r="JT247"/>
      <c r="JU247"/>
      <c r="JV247"/>
      <c r="JW247"/>
      <c r="JX247"/>
      <c r="JY247"/>
      <c r="JZ247"/>
      <c r="KA247"/>
      <c r="KB247"/>
      <c r="KC247"/>
      <c r="KD247"/>
      <c r="KE247"/>
      <c r="KF247"/>
      <c r="KG247"/>
      <c r="KH247"/>
      <c r="KI247"/>
      <c r="KJ247"/>
      <c r="KK247"/>
      <c r="KL247"/>
      <c r="KM247"/>
      <c r="KN247"/>
      <c r="KO247"/>
      <c r="KP247"/>
      <c r="KQ247"/>
      <c r="KR247"/>
      <c r="KS247"/>
    </row>
    <row r="248" spans="2:305" hidden="1" x14ac:dyDescent="0.25">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c r="FC248"/>
      <c r="FD248"/>
      <c r="FE248"/>
      <c r="FF248"/>
      <c r="FG248"/>
      <c r="FH248"/>
      <c r="FI248"/>
      <c r="FJ248"/>
      <c r="FK248"/>
      <c r="FL248"/>
      <c r="FM248"/>
      <c r="FN248"/>
      <c r="FO248"/>
      <c r="FP248"/>
      <c r="FQ248"/>
      <c r="FR248"/>
      <c r="FS248"/>
      <c r="FT248"/>
      <c r="FU248"/>
      <c r="FV248"/>
      <c r="FW248"/>
      <c r="FX248"/>
      <c r="FY248"/>
      <c r="FZ248"/>
      <c r="GA248"/>
      <c r="GB248"/>
      <c r="GC248"/>
      <c r="GD248"/>
      <c r="GE248"/>
      <c r="GF248"/>
      <c r="GG248"/>
      <c r="GH248"/>
      <c r="GI248"/>
      <c r="GJ248"/>
      <c r="GK248"/>
      <c r="GL248"/>
      <c r="GM248"/>
      <c r="GN248"/>
      <c r="GO248"/>
      <c r="GP248"/>
      <c r="GQ248"/>
      <c r="GR248"/>
      <c r="GS248"/>
      <c r="GT248"/>
      <c r="GU248"/>
      <c r="GV248"/>
      <c r="GW248"/>
      <c r="GX248"/>
      <c r="GY248"/>
      <c r="GZ248"/>
      <c r="HA248"/>
      <c r="HB248"/>
      <c r="HC248"/>
      <c r="HD248"/>
      <c r="HE248"/>
      <c r="HF248"/>
      <c r="HG248"/>
      <c r="HH248"/>
      <c r="HI248"/>
      <c r="HJ248"/>
      <c r="HK248"/>
      <c r="HL248"/>
      <c r="HM248"/>
      <c r="HN248"/>
      <c r="HO248"/>
      <c r="HP248"/>
      <c r="HQ248"/>
      <c r="HR248"/>
      <c r="HS248"/>
      <c r="HT248"/>
      <c r="HU248"/>
      <c r="HV248"/>
      <c r="HW248"/>
      <c r="HX248"/>
      <c r="HY248"/>
      <c r="HZ248"/>
      <c r="IA248"/>
      <c r="IB248"/>
      <c r="IC248"/>
      <c r="ID248"/>
      <c r="IE248"/>
      <c r="IF248"/>
      <c r="IG248"/>
      <c r="IH248"/>
      <c r="II248"/>
      <c r="IJ248"/>
      <c r="IK248"/>
      <c r="IL248"/>
      <c r="IM248"/>
      <c r="IN248"/>
      <c r="IO248"/>
      <c r="IP248"/>
      <c r="IQ248"/>
      <c r="IR248"/>
      <c r="IS248"/>
      <c r="IT248"/>
      <c r="IU248"/>
      <c r="IV248"/>
      <c r="IW248"/>
      <c r="IX248"/>
      <c r="IY248"/>
      <c r="IZ248"/>
      <c r="JA248"/>
      <c r="JB248"/>
      <c r="JC248"/>
      <c r="JD248"/>
      <c r="JE248"/>
      <c r="JF248"/>
      <c r="JG248"/>
      <c r="JH248"/>
      <c r="JI248"/>
      <c r="JJ248"/>
      <c r="JK248"/>
      <c r="JL248"/>
      <c r="JM248"/>
      <c r="JN248"/>
      <c r="JO248"/>
      <c r="JP248"/>
      <c r="JQ248"/>
      <c r="JR248"/>
      <c r="JS248"/>
      <c r="JT248"/>
      <c r="JU248"/>
      <c r="JV248"/>
      <c r="JW248"/>
      <c r="JX248"/>
      <c r="JY248"/>
      <c r="JZ248"/>
      <c r="KA248"/>
      <c r="KB248"/>
      <c r="KC248"/>
      <c r="KD248"/>
      <c r="KE248"/>
      <c r="KF248"/>
      <c r="KG248"/>
      <c r="KH248"/>
      <c r="KI248"/>
      <c r="KJ248"/>
      <c r="KK248"/>
      <c r="KL248"/>
      <c r="KM248"/>
      <c r="KN248"/>
      <c r="KO248"/>
      <c r="KP248"/>
      <c r="KQ248"/>
      <c r="KR248"/>
      <c r="KS248"/>
    </row>
    <row r="249" spans="2:305" hidden="1" x14ac:dyDescent="0.25">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c r="FC249"/>
      <c r="FD249"/>
      <c r="FE249"/>
      <c r="FF249"/>
      <c r="FG249"/>
      <c r="FH249"/>
      <c r="FI249"/>
      <c r="FJ249"/>
      <c r="FK249"/>
      <c r="FL249"/>
      <c r="FM249"/>
      <c r="FN249"/>
      <c r="FO249"/>
      <c r="FP249"/>
      <c r="FQ249"/>
      <c r="FR249"/>
      <c r="FS249"/>
      <c r="FT249"/>
      <c r="FU249"/>
      <c r="FV249"/>
      <c r="FW249"/>
      <c r="FX249"/>
      <c r="FY249"/>
      <c r="FZ249"/>
      <c r="GA249"/>
      <c r="GB249"/>
      <c r="GC249"/>
      <c r="GD249"/>
      <c r="GE249"/>
      <c r="GF249"/>
      <c r="GG249"/>
      <c r="GH249"/>
      <c r="GI249"/>
      <c r="GJ249"/>
      <c r="GK249"/>
      <c r="GL249"/>
      <c r="GM249"/>
      <c r="GN249"/>
      <c r="GO249"/>
      <c r="GP249"/>
      <c r="GQ249"/>
      <c r="GR249"/>
      <c r="GS249"/>
      <c r="GT249"/>
      <c r="GU249"/>
      <c r="GV249"/>
      <c r="GW249"/>
      <c r="GX249"/>
      <c r="GY249"/>
      <c r="GZ249"/>
      <c r="HA249"/>
      <c r="HB249"/>
      <c r="HC249"/>
      <c r="HD249"/>
      <c r="HE249"/>
      <c r="HF249"/>
      <c r="HG249"/>
      <c r="HH249"/>
      <c r="HI249"/>
      <c r="HJ249"/>
      <c r="HK249"/>
      <c r="HL249"/>
      <c r="HM249"/>
      <c r="HN249"/>
      <c r="HO249"/>
      <c r="HP249"/>
      <c r="HQ249"/>
      <c r="HR249"/>
      <c r="HS249"/>
      <c r="HT249"/>
      <c r="HU249"/>
      <c r="HV249"/>
      <c r="HW249"/>
      <c r="HX249"/>
      <c r="HY249"/>
      <c r="HZ249"/>
      <c r="IA249"/>
      <c r="IB249"/>
      <c r="IC249"/>
      <c r="ID249"/>
      <c r="IE249"/>
      <c r="IF249"/>
      <c r="IG249"/>
      <c r="IH249"/>
      <c r="II249"/>
      <c r="IJ249"/>
      <c r="IK249"/>
      <c r="IL249"/>
      <c r="IM249"/>
      <c r="IN249"/>
      <c r="IO249"/>
      <c r="IP249"/>
      <c r="IQ249"/>
      <c r="IR249"/>
      <c r="IS249"/>
      <c r="IT249"/>
      <c r="IU249"/>
      <c r="IV249"/>
      <c r="IW249"/>
      <c r="IX249"/>
      <c r="IY249"/>
      <c r="IZ249"/>
      <c r="JA249"/>
      <c r="JB249"/>
      <c r="JC249"/>
      <c r="JD249"/>
      <c r="JE249"/>
      <c r="JF249"/>
      <c r="JG249"/>
      <c r="JH249"/>
      <c r="JI249"/>
      <c r="JJ249"/>
      <c r="JK249"/>
      <c r="JL249"/>
      <c r="JM249"/>
      <c r="JN249"/>
      <c r="JO249"/>
      <c r="JP249"/>
      <c r="JQ249"/>
      <c r="JR249"/>
      <c r="JS249"/>
      <c r="JT249"/>
      <c r="JU249"/>
      <c r="JV249"/>
      <c r="JW249"/>
      <c r="JX249"/>
      <c r="JY249"/>
      <c r="JZ249"/>
      <c r="KA249"/>
      <c r="KB249"/>
      <c r="KC249"/>
      <c r="KD249"/>
      <c r="KE249"/>
      <c r="KF249"/>
      <c r="KG249"/>
      <c r="KH249"/>
      <c r="KI249"/>
      <c r="KJ249"/>
      <c r="KK249"/>
      <c r="KL249"/>
      <c r="KM249"/>
      <c r="KN249"/>
      <c r="KO249"/>
      <c r="KP249"/>
      <c r="KQ249"/>
      <c r="KR249"/>
      <c r="KS249"/>
    </row>
    <row r="250" spans="2:305" hidden="1" x14ac:dyDescent="0.25">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c r="FC250"/>
      <c r="FD250"/>
      <c r="FE250"/>
      <c r="FF250"/>
      <c r="FG250"/>
      <c r="FH250"/>
      <c r="FI250"/>
      <c r="FJ250"/>
      <c r="FK250"/>
      <c r="FL250"/>
      <c r="FM250"/>
      <c r="FN250"/>
      <c r="FO250"/>
      <c r="FP250"/>
      <c r="FQ250"/>
      <c r="FR250"/>
      <c r="FS250"/>
      <c r="FT250"/>
      <c r="FU250"/>
      <c r="FV250"/>
      <c r="FW250"/>
      <c r="FX250"/>
      <c r="FY250"/>
      <c r="FZ250"/>
      <c r="GA250"/>
      <c r="GB250"/>
      <c r="GC250"/>
      <c r="GD250"/>
      <c r="GE250"/>
      <c r="GF250"/>
      <c r="GG250"/>
      <c r="GH250"/>
      <c r="GI250"/>
      <c r="GJ250"/>
      <c r="GK250"/>
      <c r="GL250"/>
      <c r="GM250"/>
      <c r="GN250"/>
      <c r="GO250"/>
      <c r="GP250"/>
      <c r="GQ250"/>
      <c r="GR250"/>
      <c r="GS250"/>
      <c r="GT250"/>
      <c r="GU250"/>
      <c r="GV250"/>
      <c r="GW250"/>
      <c r="GX250"/>
      <c r="GY250"/>
      <c r="GZ250"/>
      <c r="HA250"/>
      <c r="HB250"/>
      <c r="HC250"/>
      <c r="HD250"/>
      <c r="HE250"/>
      <c r="HF250"/>
      <c r="HG250"/>
      <c r="HH250"/>
      <c r="HI250"/>
      <c r="HJ250"/>
      <c r="HK250"/>
      <c r="HL250"/>
      <c r="HM250"/>
      <c r="HN250"/>
      <c r="HO250"/>
      <c r="HP250"/>
      <c r="HQ250"/>
      <c r="HR250"/>
      <c r="HS250"/>
      <c r="HT250"/>
      <c r="HU250"/>
      <c r="HV250"/>
      <c r="HW250"/>
      <c r="HX250"/>
      <c r="HY250"/>
      <c r="HZ250"/>
      <c r="IA250"/>
      <c r="IB250"/>
      <c r="IC250"/>
      <c r="ID250"/>
      <c r="IE250"/>
      <c r="IF250"/>
      <c r="IG250"/>
      <c r="IH250"/>
      <c r="II250"/>
      <c r="IJ250"/>
      <c r="IK250"/>
      <c r="IL250"/>
      <c r="IM250"/>
      <c r="IN250"/>
      <c r="IO250"/>
      <c r="IP250"/>
      <c r="IQ250"/>
      <c r="IR250"/>
      <c r="IS250"/>
      <c r="IT250"/>
      <c r="IU250"/>
      <c r="IV250"/>
      <c r="IW250"/>
      <c r="IX250"/>
      <c r="IY250"/>
      <c r="IZ250"/>
      <c r="JA250"/>
      <c r="JB250"/>
      <c r="JC250"/>
      <c r="JD250"/>
      <c r="JE250"/>
      <c r="JF250"/>
      <c r="JG250"/>
      <c r="JH250"/>
      <c r="JI250"/>
      <c r="JJ250"/>
      <c r="JK250"/>
      <c r="JL250"/>
      <c r="JM250"/>
      <c r="JN250"/>
      <c r="JO250"/>
      <c r="JP250"/>
      <c r="JQ250"/>
      <c r="JR250"/>
      <c r="JS250"/>
      <c r="JT250"/>
      <c r="JU250"/>
      <c r="JV250"/>
      <c r="JW250"/>
      <c r="JX250"/>
      <c r="JY250"/>
      <c r="JZ250"/>
      <c r="KA250"/>
      <c r="KB250"/>
      <c r="KC250"/>
      <c r="KD250"/>
      <c r="KE250"/>
      <c r="KF250"/>
      <c r="KG250"/>
      <c r="KH250"/>
      <c r="KI250"/>
      <c r="KJ250"/>
      <c r="KK250"/>
      <c r="KL250"/>
      <c r="KM250"/>
      <c r="KN250"/>
      <c r="KO250"/>
      <c r="KP250"/>
      <c r="KQ250"/>
      <c r="KR250"/>
      <c r="KS250"/>
    </row>
    <row r="251" spans="2:305" hidden="1" x14ac:dyDescent="0.25">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c r="FC251"/>
      <c r="FD251"/>
      <c r="FE251"/>
      <c r="FF251"/>
      <c r="FG251"/>
      <c r="FH251"/>
      <c r="FI251"/>
      <c r="FJ251"/>
      <c r="FK251"/>
      <c r="FL251"/>
      <c r="FM251"/>
      <c r="FN251"/>
      <c r="FO251"/>
      <c r="FP251"/>
      <c r="FQ251"/>
      <c r="FR251"/>
      <c r="FS251"/>
      <c r="FT251"/>
      <c r="FU251"/>
      <c r="FV251"/>
      <c r="FW251"/>
      <c r="FX251"/>
      <c r="FY251"/>
      <c r="FZ251"/>
      <c r="GA251"/>
      <c r="GB251"/>
      <c r="GC251"/>
      <c r="GD251"/>
      <c r="GE251"/>
      <c r="GF251"/>
      <c r="GG251"/>
      <c r="GH251"/>
      <c r="GI251"/>
      <c r="GJ251"/>
      <c r="GK251"/>
      <c r="GL251"/>
      <c r="GM251"/>
      <c r="GN251"/>
      <c r="GO251"/>
      <c r="GP251"/>
      <c r="GQ251"/>
      <c r="GR251"/>
      <c r="GS251"/>
      <c r="GT251"/>
      <c r="GU251"/>
      <c r="GV251"/>
      <c r="GW251"/>
      <c r="GX251"/>
      <c r="GY251"/>
      <c r="GZ251"/>
      <c r="HA251"/>
      <c r="HB251"/>
      <c r="HC251"/>
      <c r="HD251"/>
      <c r="HE251"/>
      <c r="HF251"/>
      <c r="HG251"/>
      <c r="HH251"/>
      <c r="HI251"/>
      <c r="HJ251"/>
      <c r="HK251"/>
      <c r="HL251"/>
      <c r="HM251"/>
      <c r="HN251"/>
      <c r="HO251"/>
      <c r="HP251"/>
      <c r="HQ251"/>
      <c r="HR251"/>
      <c r="HS251"/>
      <c r="HT251"/>
      <c r="HU251"/>
      <c r="HV251"/>
      <c r="HW251"/>
      <c r="HX251"/>
      <c r="HY251"/>
      <c r="HZ251"/>
      <c r="IA251"/>
      <c r="IB251"/>
      <c r="IC251"/>
      <c r="ID251"/>
      <c r="IE251"/>
      <c r="IF251"/>
      <c r="IG251"/>
      <c r="IH251"/>
      <c r="II251"/>
      <c r="IJ251"/>
      <c r="IK251"/>
      <c r="IL251"/>
      <c r="IM251"/>
      <c r="IN251"/>
      <c r="IO251"/>
      <c r="IP251"/>
      <c r="IQ251"/>
      <c r="IR251"/>
      <c r="IS251"/>
      <c r="IT251"/>
      <c r="IU251"/>
      <c r="IV251"/>
      <c r="IW251"/>
      <c r="IX251"/>
      <c r="IY251"/>
      <c r="IZ251"/>
      <c r="JA251"/>
      <c r="JB251"/>
      <c r="JC251"/>
      <c r="JD251"/>
      <c r="JE251"/>
      <c r="JF251"/>
      <c r="JG251"/>
      <c r="JH251"/>
      <c r="JI251"/>
      <c r="JJ251"/>
      <c r="JK251"/>
      <c r="JL251"/>
      <c r="JM251"/>
      <c r="JN251"/>
      <c r="JO251"/>
      <c r="JP251"/>
      <c r="JQ251"/>
      <c r="JR251"/>
      <c r="JS251"/>
      <c r="JT251"/>
      <c r="JU251"/>
      <c r="JV251"/>
      <c r="JW251"/>
      <c r="JX251"/>
      <c r="JY251"/>
      <c r="JZ251"/>
      <c r="KA251"/>
      <c r="KB251"/>
      <c r="KC251"/>
      <c r="KD251"/>
      <c r="KE251"/>
      <c r="KF251"/>
      <c r="KG251"/>
      <c r="KH251"/>
      <c r="KI251"/>
      <c r="KJ251"/>
      <c r="KK251"/>
      <c r="KL251"/>
      <c r="KM251"/>
      <c r="KN251"/>
      <c r="KO251"/>
      <c r="KP251"/>
      <c r="KQ251"/>
      <c r="KR251"/>
      <c r="KS251"/>
    </row>
    <row r="252" spans="2:305" hidden="1" x14ac:dyDescent="0.25">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c r="FC252"/>
      <c r="FD252"/>
      <c r="FE252"/>
      <c r="FF252"/>
      <c r="FG252"/>
      <c r="FH252"/>
      <c r="FI252"/>
      <c r="FJ252"/>
      <c r="FK252"/>
      <c r="FL252"/>
      <c r="FM252"/>
      <c r="FN252"/>
      <c r="FO252"/>
      <c r="FP252"/>
      <c r="FQ252"/>
      <c r="FR252"/>
      <c r="FS252"/>
      <c r="FT252"/>
      <c r="FU252"/>
      <c r="FV252"/>
      <c r="FW252"/>
      <c r="FX252"/>
      <c r="FY252"/>
      <c r="FZ252"/>
      <c r="GA252"/>
      <c r="GB252"/>
      <c r="GC252"/>
      <c r="GD252"/>
      <c r="GE252"/>
      <c r="GF252"/>
      <c r="GG252"/>
      <c r="GH252"/>
      <c r="GI252"/>
      <c r="GJ252"/>
      <c r="GK252"/>
      <c r="GL252"/>
      <c r="GM252"/>
      <c r="GN252"/>
      <c r="GO252"/>
      <c r="GP252"/>
      <c r="GQ252"/>
      <c r="GR252"/>
      <c r="GS252"/>
      <c r="GT252"/>
      <c r="GU252"/>
      <c r="GV252"/>
      <c r="GW252"/>
      <c r="GX252"/>
      <c r="GY252"/>
      <c r="GZ252"/>
      <c r="HA252"/>
      <c r="HB252"/>
      <c r="HC252"/>
      <c r="HD252"/>
      <c r="HE252"/>
      <c r="HF252"/>
      <c r="HG252"/>
      <c r="HH252"/>
      <c r="HI252"/>
      <c r="HJ252"/>
      <c r="HK252"/>
      <c r="HL252"/>
      <c r="HM252"/>
      <c r="HN252"/>
      <c r="HO252"/>
      <c r="HP252"/>
      <c r="HQ252"/>
      <c r="HR252"/>
      <c r="HS252"/>
      <c r="HT252"/>
      <c r="HU252"/>
      <c r="HV252"/>
      <c r="HW252"/>
      <c r="HX252"/>
      <c r="HY252"/>
      <c r="HZ252"/>
      <c r="IA252"/>
      <c r="IB252"/>
      <c r="IC252"/>
      <c r="ID252"/>
      <c r="IE252"/>
      <c r="IF252"/>
      <c r="IG252"/>
      <c r="IH252"/>
      <c r="II252"/>
      <c r="IJ252"/>
      <c r="IK252"/>
      <c r="IL252"/>
      <c r="IM252"/>
      <c r="IN252"/>
      <c r="IO252"/>
      <c r="IP252"/>
      <c r="IQ252"/>
      <c r="IR252"/>
      <c r="IS252"/>
      <c r="IT252"/>
      <c r="IU252"/>
      <c r="IV252"/>
      <c r="IW252"/>
      <c r="IX252"/>
      <c r="IY252"/>
      <c r="IZ252"/>
      <c r="JA252"/>
      <c r="JB252"/>
      <c r="JC252"/>
      <c r="JD252"/>
      <c r="JE252"/>
      <c r="JF252"/>
      <c r="JG252"/>
      <c r="JH252"/>
      <c r="JI252"/>
      <c r="JJ252"/>
      <c r="JK252"/>
      <c r="JL252"/>
      <c r="JM252"/>
      <c r="JN252"/>
      <c r="JO252"/>
      <c r="JP252"/>
      <c r="JQ252"/>
      <c r="JR252"/>
      <c r="JS252"/>
      <c r="JT252"/>
      <c r="JU252"/>
      <c r="JV252"/>
      <c r="JW252"/>
      <c r="JX252"/>
      <c r="JY252"/>
      <c r="JZ252"/>
      <c r="KA252"/>
      <c r="KB252"/>
      <c r="KC252"/>
      <c r="KD252"/>
      <c r="KE252"/>
      <c r="KF252"/>
      <c r="KG252"/>
      <c r="KH252"/>
      <c r="KI252"/>
      <c r="KJ252"/>
      <c r="KK252"/>
      <c r="KL252"/>
      <c r="KM252"/>
      <c r="KN252"/>
      <c r="KO252"/>
      <c r="KP252"/>
      <c r="KQ252"/>
      <c r="KR252"/>
      <c r="KS252"/>
    </row>
    <row r="253" spans="2:305" hidden="1" x14ac:dyDescent="0.25">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c r="FC253"/>
      <c r="FD253"/>
      <c r="FE253"/>
      <c r="FF253"/>
      <c r="FG253"/>
      <c r="FH253"/>
      <c r="FI253"/>
      <c r="FJ253"/>
      <c r="FK253"/>
      <c r="FL253"/>
      <c r="FM253"/>
      <c r="FN253"/>
      <c r="FO253"/>
      <c r="FP253"/>
      <c r="FQ253"/>
      <c r="FR253"/>
      <c r="FS253"/>
      <c r="FT253"/>
      <c r="FU253"/>
      <c r="FV253"/>
      <c r="FW253"/>
      <c r="FX253"/>
      <c r="FY253"/>
      <c r="FZ253"/>
      <c r="GA253"/>
      <c r="GB253"/>
      <c r="GC253"/>
      <c r="GD253"/>
      <c r="GE253"/>
      <c r="GF253"/>
      <c r="GG253"/>
      <c r="GH253"/>
      <c r="GI253"/>
      <c r="GJ253"/>
      <c r="GK253"/>
      <c r="GL253"/>
      <c r="GM253"/>
      <c r="GN253"/>
      <c r="GO253"/>
      <c r="GP253"/>
      <c r="GQ253"/>
      <c r="GR253"/>
      <c r="GS253"/>
      <c r="GT253"/>
      <c r="GU253"/>
      <c r="GV253"/>
      <c r="GW253"/>
      <c r="GX253"/>
      <c r="GY253"/>
      <c r="GZ253"/>
      <c r="HA253"/>
      <c r="HB253"/>
      <c r="HC253"/>
      <c r="HD253"/>
      <c r="HE253"/>
      <c r="HF253"/>
      <c r="HG253"/>
      <c r="HH253"/>
      <c r="HI253"/>
      <c r="HJ253"/>
      <c r="HK253"/>
      <c r="HL253"/>
      <c r="HM253"/>
      <c r="HN253"/>
      <c r="HO253"/>
      <c r="HP253"/>
      <c r="HQ253"/>
      <c r="HR253"/>
      <c r="HS253"/>
      <c r="HT253"/>
      <c r="HU253"/>
      <c r="HV253"/>
      <c r="HW253"/>
      <c r="HX253"/>
      <c r="HY253"/>
      <c r="HZ253"/>
      <c r="IA253"/>
      <c r="IB253"/>
      <c r="IC253"/>
      <c r="ID253"/>
      <c r="IE253"/>
      <c r="IF253"/>
      <c r="IG253"/>
      <c r="IH253"/>
      <c r="II253"/>
      <c r="IJ253"/>
      <c r="IK253"/>
      <c r="IL253"/>
      <c r="IM253"/>
      <c r="IN253"/>
      <c r="IO253"/>
      <c r="IP253"/>
      <c r="IQ253"/>
      <c r="IR253"/>
      <c r="IS253"/>
      <c r="IT253"/>
      <c r="IU253"/>
      <c r="IV253"/>
      <c r="IW253"/>
      <c r="IX253"/>
      <c r="IY253"/>
      <c r="IZ253"/>
      <c r="JA253"/>
      <c r="JB253"/>
      <c r="JC253"/>
      <c r="JD253"/>
      <c r="JE253"/>
      <c r="JF253"/>
      <c r="JG253"/>
      <c r="JH253"/>
      <c r="JI253"/>
      <c r="JJ253"/>
      <c r="JK253"/>
      <c r="JL253"/>
      <c r="JM253"/>
      <c r="JN253"/>
      <c r="JO253"/>
      <c r="JP253"/>
      <c r="JQ253"/>
      <c r="JR253"/>
      <c r="JS253"/>
      <c r="JT253"/>
      <c r="JU253"/>
      <c r="JV253"/>
      <c r="JW253"/>
      <c r="JX253"/>
      <c r="JY253"/>
      <c r="JZ253"/>
      <c r="KA253"/>
      <c r="KB253"/>
      <c r="KC253"/>
      <c r="KD253"/>
      <c r="KE253"/>
      <c r="KF253"/>
      <c r="KG253"/>
      <c r="KH253"/>
      <c r="KI253"/>
      <c r="KJ253"/>
      <c r="KK253"/>
      <c r="KL253"/>
      <c r="KM253"/>
      <c r="KN253"/>
      <c r="KO253"/>
      <c r="KP253"/>
      <c r="KQ253"/>
      <c r="KR253"/>
      <c r="KS253"/>
    </row>
    <row r="254" spans="2:305" hidden="1" x14ac:dyDescent="0.25">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c r="FC254"/>
      <c r="FD254"/>
      <c r="FE254"/>
      <c r="FF254"/>
      <c r="FG254"/>
      <c r="FH254"/>
      <c r="FI254"/>
      <c r="FJ254"/>
      <c r="FK254"/>
      <c r="FL254"/>
      <c r="FM254"/>
      <c r="FN254"/>
      <c r="FO254"/>
      <c r="FP254"/>
      <c r="FQ254"/>
      <c r="FR254"/>
      <c r="FS254"/>
      <c r="FT254"/>
      <c r="FU254"/>
      <c r="FV254"/>
      <c r="FW254"/>
      <c r="FX254"/>
      <c r="FY254"/>
      <c r="FZ254"/>
      <c r="GA254"/>
      <c r="GB254"/>
      <c r="GC254"/>
      <c r="GD254"/>
      <c r="GE254"/>
      <c r="GF254"/>
      <c r="GG254"/>
      <c r="GH254"/>
      <c r="GI254"/>
      <c r="GJ254"/>
      <c r="GK254"/>
      <c r="GL254"/>
      <c r="GM254"/>
      <c r="GN254"/>
      <c r="GO254"/>
      <c r="GP254"/>
      <c r="GQ254"/>
      <c r="GR254"/>
      <c r="GS254"/>
      <c r="GT254"/>
      <c r="GU254"/>
      <c r="GV254"/>
      <c r="GW254"/>
      <c r="GX254"/>
      <c r="GY254"/>
      <c r="GZ254"/>
      <c r="HA254"/>
      <c r="HB254"/>
      <c r="HC254"/>
      <c r="HD254"/>
      <c r="HE254"/>
      <c r="HF254"/>
      <c r="HG254"/>
      <c r="HH254"/>
      <c r="HI254"/>
      <c r="HJ254"/>
      <c r="HK254"/>
      <c r="HL254"/>
      <c r="HM254"/>
      <c r="HN254"/>
      <c r="HO254"/>
      <c r="HP254"/>
      <c r="HQ254"/>
      <c r="HR254"/>
      <c r="HS254"/>
      <c r="HT254"/>
      <c r="HU254"/>
      <c r="HV254"/>
      <c r="HW254"/>
      <c r="HX254"/>
      <c r="HY254"/>
      <c r="HZ254"/>
      <c r="IA254"/>
      <c r="IB254"/>
      <c r="IC254"/>
      <c r="ID254"/>
      <c r="IE254"/>
      <c r="IF254"/>
      <c r="IG254"/>
      <c r="IH254"/>
      <c r="II254"/>
      <c r="IJ254"/>
      <c r="IK254"/>
      <c r="IL254"/>
      <c r="IM254"/>
      <c r="IN254"/>
      <c r="IO254"/>
      <c r="IP254"/>
      <c r="IQ254"/>
      <c r="IR254"/>
      <c r="IS254"/>
      <c r="IT254"/>
      <c r="IU254"/>
      <c r="IV254"/>
      <c r="IW254"/>
      <c r="IX254"/>
      <c r="IY254"/>
      <c r="IZ254"/>
      <c r="JA254"/>
      <c r="JB254"/>
      <c r="JC254"/>
      <c r="JD254"/>
      <c r="JE254"/>
      <c r="JF254"/>
      <c r="JG254"/>
      <c r="JH254"/>
      <c r="JI254"/>
      <c r="JJ254"/>
      <c r="JK254"/>
      <c r="JL254"/>
      <c r="JM254"/>
      <c r="JN254"/>
      <c r="JO254"/>
      <c r="JP254"/>
      <c r="JQ254"/>
      <c r="JR254"/>
      <c r="JS254"/>
      <c r="JT254"/>
      <c r="JU254"/>
      <c r="JV254"/>
      <c r="JW254"/>
      <c r="JX254"/>
      <c r="JY254"/>
      <c r="JZ254"/>
      <c r="KA254"/>
      <c r="KB254"/>
      <c r="KC254"/>
      <c r="KD254"/>
      <c r="KE254"/>
      <c r="KF254"/>
      <c r="KG254"/>
      <c r="KH254"/>
      <c r="KI254"/>
      <c r="KJ254"/>
      <c r="KK254"/>
      <c r="KL254"/>
      <c r="KM254"/>
      <c r="KN254"/>
      <c r="KO254"/>
      <c r="KP254"/>
      <c r="KQ254"/>
      <c r="KR254"/>
      <c r="KS254"/>
    </row>
    <row r="255" spans="2:305" hidden="1" x14ac:dyDescent="0.2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c r="FC255"/>
      <c r="FD255"/>
      <c r="FE255"/>
      <c r="FF255"/>
      <c r="FG255"/>
      <c r="FH255"/>
      <c r="FI255"/>
      <c r="FJ255"/>
      <c r="FK255"/>
      <c r="FL255"/>
      <c r="FM255"/>
      <c r="FN255"/>
      <c r="FO255"/>
      <c r="FP255"/>
      <c r="FQ255"/>
      <c r="FR255"/>
      <c r="FS255"/>
      <c r="FT255"/>
      <c r="FU255"/>
      <c r="FV255"/>
      <c r="FW255"/>
      <c r="FX255"/>
      <c r="FY255"/>
      <c r="FZ255"/>
      <c r="GA255"/>
      <c r="GB255"/>
      <c r="GC255"/>
      <c r="GD255"/>
      <c r="GE255"/>
      <c r="GF255"/>
      <c r="GG255"/>
      <c r="GH255"/>
      <c r="GI255"/>
      <c r="GJ255"/>
      <c r="GK255"/>
      <c r="GL255"/>
      <c r="GM255"/>
      <c r="GN255"/>
      <c r="GO255"/>
      <c r="GP255"/>
      <c r="GQ255"/>
      <c r="GR255"/>
      <c r="GS255"/>
      <c r="GT255"/>
      <c r="GU255"/>
      <c r="GV255"/>
      <c r="GW255"/>
      <c r="GX255"/>
      <c r="GY255"/>
      <c r="GZ255"/>
      <c r="HA255"/>
      <c r="HB255"/>
      <c r="HC255"/>
      <c r="HD255"/>
      <c r="HE255"/>
      <c r="HF255"/>
      <c r="HG255"/>
      <c r="HH255"/>
      <c r="HI255"/>
      <c r="HJ255"/>
      <c r="HK255"/>
      <c r="HL255"/>
      <c r="HM255"/>
      <c r="HN255"/>
      <c r="HO255"/>
      <c r="HP255"/>
      <c r="HQ255"/>
      <c r="HR255"/>
      <c r="HS255"/>
      <c r="HT255"/>
      <c r="HU255"/>
      <c r="HV255"/>
      <c r="HW255"/>
      <c r="HX255"/>
      <c r="HY255"/>
      <c r="HZ255"/>
      <c r="IA255"/>
      <c r="IB255"/>
      <c r="IC255"/>
      <c r="ID255"/>
      <c r="IE255"/>
      <c r="IF255"/>
      <c r="IG255"/>
      <c r="IH255"/>
      <c r="II255"/>
      <c r="IJ255"/>
      <c r="IK255"/>
      <c r="IL255"/>
      <c r="IM255"/>
      <c r="IN255"/>
      <c r="IO255"/>
      <c r="IP255"/>
      <c r="IQ255"/>
      <c r="IR255"/>
      <c r="IS255"/>
      <c r="IT255"/>
      <c r="IU255"/>
      <c r="IV255"/>
      <c r="IW255"/>
      <c r="IX255"/>
      <c r="IY255"/>
      <c r="IZ255"/>
      <c r="JA255"/>
      <c r="JB255"/>
      <c r="JC255"/>
      <c r="JD255"/>
      <c r="JE255"/>
      <c r="JF255"/>
      <c r="JG255"/>
      <c r="JH255"/>
      <c r="JI255"/>
      <c r="JJ255"/>
      <c r="JK255"/>
      <c r="JL255"/>
      <c r="JM255"/>
      <c r="JN255"/>
      <c r="JO255"/>
      <c r="JP255"/>
      <c r="JQ255"/>
      <c r="JR255"/>
      <c r="JS255"/>
      <c r="JT255"/>
      <c r="JU255"/>
      <c r="JV255"/>
      <c r="JW255"/>
      <c r="JX255"/>
      <c r="JY255"/>
      <c r="JZ255"/>
      <c r="KA255"/>
      <c r="KB255"/>
      <c r="KC255"/>
      <c r="KD255"/>
      <c r="KE255"/>
      <c r="KF255"/>
      <c r="KG255"/>
      <c r="KH255"/>
      <c r="KI255"/>
      <c r="KJ255"/>
      <c r="KK255"/>
      <c r="KL255"/>
      <c r="KM255"/>
      <c r="KN255"/>
      <c r="KO255"/>
      <c r="KP255"/>
      <c r="KQ255"/>
      <c r="KR255"/>
      <c r="KS255"/>
    </row>
    <row r="256" spans="2:305" hidden="1" x14ac:dyDescent="0.25">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c r="FC256"/>
      <c r="FD256"/>
      <c r="FE256"/>
      <c r="FF256"/>
      <c r="FG256"/>
      <c r="FH256"/>
      <c r="FI256"/>
      <c r="FJ256"/>
      <c r="FK256"/>
      <c r="FL256"/>
      <c r="FM256"/>
      <c r="FN256"/>
      <c r="FO256"/>
      <c r="FP256"/>
      <c r="FQ256"/>
      <c r="FR256"/>
      <c r="FS256"/>
      <c r="FT256"/>
      <c r="FU256"/>
      <c r="FV256"/>
      <c r="FW256"/>
      <c r="FX256"/>
      <c r="FY256"/>
      <c r="FZ256"/>
      <c r="GA256"/>
      <c r="GB256"/>
      <c r="GC256"/>
      <c r="GD256"/>
      <c r="GE256"/>
      <c r="GF256"/>
      <c r="GG256"/>
      <c r="GH256"/>
      <c r="GI256"/>
      <c r="GJ256"/>
      <c r="GK256"/>
      <c r="GL256"/>
      <c r="GM256"/>
      <c r="GN256"/>
      <c r="GO256"/>
      <c r="GP256"/>
      <c r="GQ256"/>
      <c r="GR256"/>
      <c r="GS256"/>
      <c r="GT256"/>
      <c r="GU256"/>
      <c r="GV256"/>
      <c r="GW256"/>
      <c r="GX256"/>
      <c r="GY256"/>
      <c r="GZ256"/>
      <c r="HA256"/>
      <c r="HB256"/>
      <c r="HC256"/>
      <c r="HD256"/>
      <c r="HE256"/>
      <c r="HF256"/>
      <c r="HG256"/>
      <c r="HH256"/>
      <c r="HI256"/>
      <c r="HJ256"/>
      <c r="HK256"/>
      <c r="HL256"/>
      <c r="HM256"/>
      <c r="HN256"/>
      <c r="HO256"/>
      <c r="HP256"/>
      <c r="HQ256"/>
      <c r="HR256"/>
      <c r="HS256"/>
      <c r="HT256"/>
      <c r="HU256"/>
      <c r="HV256"/>
      <c r="HW256"/>
      <c r="HX256"/>
      <c r="HY256"/>
      <c r="HZ256"/>
      <c r="IA256"/>
      <c r="IB256"/>
      <c r="IC256"/>
      <c r="ID256"/>
      <c r="IE256"/>
      <c r="IF256"/>
      <c r="IG256"/>
      <c r="IH256"/>
      <c r="II256"/>
      <c r="IJ256"/>
      <c r="IK256"/>
      <c r="IL256"/>
      <c r="IM256"/>
      <c r="IN256"/>
      <c r="IO256"/>
      <c r="IP256"/>
      <c r="IQ256"/>
      <c r="IR256"/>
      <c r="IS256"/>
      <c r="IT256"/>
      <c r="IU256"/>
      <c r="IV256"/>
      <c r="IW256"/>
      <c r="IX256"/>
      <c r="IY256"/>
      <c r="IZ256"/>
      <c r="JA256"/>
      <c r="JB256"/>
      <c r="JC256"/>
      <c r="JD256"/>
      <c r="JE256"/>
      <c r="JF256"/>
      <c r="JG256"/>
      <c r="JH256"/>
      <c r="JI256"/>
      <c r="JJ256"/>
      <c r="JK256"/>
      <c r="JL256"/>
      <c r="JM256"/>
      <c r="JN256"/>
      <c r="JO256"/>
      <c r="JP256"/>
      <c r="JQ256"/>
      <c r="JR256"/>
      <c r="JS256"/>
      <c r="JT256"/>
      <c r="JU256"/>
      <c r="JV256"/>
      <c r="JW256"/>
      <c r="JX256"/>
      <c r="JY256"/>
      <c r="JZ256"/>
      <c r="KA256"/>
      <c r="KB256"/>
      <c r="KC256"/>
      <c r="KD256"/>
      <c r="KE256"/>
      <c r="KF256"/>
      <c r="KG256"/>
      <c r="KH256"/>
      <c r="KI256"/>
      <c r="KJ256"/>
      <c r="KK256"/>
      <c r="KL256"/>
      <c r="KM256"/>
      <c r="KN256"/>
      <c r="KO256"/>
      <c r="KP256"/>
      <c r="KQ256"/>
      <c r="KR256"/>
      <c r="KS256"/>
    </row>
    <row r="257" spans="2:305" hidden="1" x14ac:dyDescent="0.25">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c r="FC257"/>
      <c r="FD257"/>
      <c r="FE257"/>
      <c r="FF257"/>
      <c r="FG257"/>
      <c r="FH257"/>
      <c r="FI257"/>
      <c r="FJ257"/>
      <c r="FK257"/>
      <c r="FL257"/>
      <c r="FM257"/>
      <c r="FN257"/>
      <c r="FO257"/>
      <c r="FP257"/>
      <c r="FQ257"/>
      <c r="FR257"/>
      <c r="FS257"/>
      <c r="FT257"/>
      <c r="FU257"/>
      <c r="FV257"/>
      <c r="FW257"/>
      <c r="FX257"/>
      <c r="FY257"/>
      <c r="FZ257"/>
      <c r="GA257"/>
      <c r="GB257"/>
      <c r="GC257"/>
      <c r="GD257"/>
      <c r="GE257"/>
      <c r="GF257"/>
      <c r="GG257"/>
      <c r="GH257"/>
      <c r="GI257"/>
      <c r="GJ257"/>
      <c r="GK257"/>
      <c r="GL257"/>
      <c r="GM257"/>
      <c r="GN257"/>
      <c r="GO257"/>
      <c r="GP257"/>
      <c r="GQ257"/>
      <c r="GR257"/>
      <c r="GS257"/>
      <c r="GT257"/>
      <c r="GU257"/>
      <c r="GV257"/>
      <c r="GW257"/>
      <c r="GX257"/>
      <c r="GY257"/>
      <c r="GZ257"/>
      <c r="HA257"/>
      <c r="HB257"/>
      <c r="HC257"/>
      <c r="HD257"/>
      <c r="HE257"/>
      <c r="HF257"/>
      <c r="HG257"/>
      <c r="HH257"/>
      <c r="HI257"/>
      <c r="HJ257"/>
      <c r="HK257"/>
      <c r="HL257"/>
      <c r="HM257"/>
      <c r="HN257"/>
      <c r="HO257"/>
      <c r="HP257"/>
      <c r="HQ257"/>
      <c r="HR257"/>
      <c r="HS257"/>
      <c r="HT257"/>
      <c r="HU257"/>
      <c r="HV257"/>
      <c r="HW257"/>
      <c r="HX257"/>
      <c r="HY257"/>
      <c r="HZ257"/>
      <c r="IA257"/>
      <c r="IB257"/>
      <c r="IC257"/>
      <c r="ID257"/>
      <c r="IE257"/>
      <c r="IF257"/>
      <c r="IG257"/>
      <c r="IH257"/>
      <c r="II257"/>
      <c r="IJ257"/>
      <c r="IK257"/>
      <c r="IL257"/>
      <c r="IM257"/>
      <c r="IN257"/>
      <c r="IO257"/>
      <c r="IP257"/>
      <c r="IQ257"/>
      <c r="IR257"/>
      <c r="IS257"/>
      <c r="IT257"/>
      <c r="IU257"/>
      <c r="IV257"/>
      <c r="IW257"/>
      <c r="IX257"/>
      <c r="IY257"/>
      <c r="IZ257"/>
      <c r="JA257"/>
      <c r="JB257"/>
      <c r="JC257"/>
      <c r="JD257"/>
      <c r="JE257"/>
      <c r="JF257"/>
      <c r="JG257"/>
      <c r="JH257"/>
      <c r="JI257"/>
      <c r="JJ257"/>
      <c r="JK257"/>
      <c r="JL257"/>
      <c r="JM257"/>
      <c r="JN257"/>
      <c r="JO257"/>
      <c r="JP257"/>
      <c r="JQ257"/>
      <c r="JR257"/>
      <c r="JS257"/>
      <c r="JT257"/>
      <c r="JU257"/>
      <c r="JV257"/>
      <c r="JW257"/>
      <c r="JX257"/>
      <c r="JY257"/>
      <c r="JZ257"/>
      <c r="KA257"/>
      <c r="KB257"/>
      <c r="KC257"/>
      <c r="KD257"/>
      <c r="KE257"/>
      <c r="KF257"/>
      <c r="KG257"/>
      <c r="KH257"/>
      <c r="KI257"/>
      <c r="KJ257"/>
      <c r="KK257"/>
      <c r="KL257"/>
      <c r="KM257"/>
      <c r="KN257"/>
      <c r="KO257"/>
      <c r="KP257"/>
      <c r="KQ257"/>
      <c r="KR257"/>
      <c r="KS257"/>
    </row>
    <row r="258" spans="2:305" hidden="1" x14ac:dyDescent="0.25">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c r="FC258"/>
      <c r="FD258"/>
      <c r="FE258"/>
      <c r="FF258"/>
      <c r="FG258"/>
      <c r="FH258"/>
      <c r="FI258"/>
      <c r="FJ258"/>
      <c r="FK258"/>
      <c r="FL258"/>
      <c r="FM258"/>
      <c r="FN258"/>
      <c r="FO258"/>
      <c r="FP258"/>
      <c r="FQ258"/>
      <c r="FR258"/>
      <c r="FS258"/>
      <c r="FT258"/>
      <c r="FU258"/>
      <c r="FV258"/>
      <c r="FW258"/>
      <c r="FX258"/>
      <c r="FY258"/>
      <c r="FZ258"/>
      <c r="GA258"/>
      <c r="GB258"/>
      <c r="GC258"/>
      <c r="GD258"/>
      <c r="GE258"/>
      <c r="GF258"/>
      <c r="GG258"/>
      <c r="GH258"/>
      <c r="GI258"/>
      <c r="GJ258"/>
      <c r="GK258"/>
      <c r="GL258"/>
      <c r="GM258"/>
      <c r="GN258"/>
      <c r="GO258"/>
      <c r="GP258"/>
      <c r="GQ258"/>
      <c r="GR258"/>
      <c r="GS258"/>
      <c r="GT258"/>
      <c r="GU258"/>
      <c r="GV258"/>
      <c r="GW258"/>
      <c r="GX258"/>
      <c r="GY258"/>
      <c r="GZ258"/>
      <c r="HA258"/>
      <c r="HB258"/>
      <c r="HC258"/>
      <c r="HD258"/>
      <c r="HE258"/>
      <c r="HF258"/>
      <c r="HG258"/>
      <c r="HH258"/>
      <c r="HI258"/>
      <c r="HJ258"/>
      <c r="HK258"/>
      <c r="HL258"/>
      <c r="HM258"/>
      <c r="HN258"/>
      <c r="HO258"/>
      <c r="HP258"/>
      <c r="HQ258"/>
      <c r="HR258"/>
      <c r="HS258"/>
      <c r="HT258"/>
      <c r="HU258"/>
      <c r="HV258"/>
      <c r="HW258"/>
      <c r="HX258"/>
      <c r="HY258"/>
      <c r="HZ258"/>
      <c r="IA258"/>
      <c r="IB258"/>
      <c r="IC258"/>
      <c r="ID258"/>
      <c r="IE258"/>
      <c r="IF258"/>
      <c r="IG258"/>
      <c r="IH258"/>
      <c r="II258"/>
      <c r="IJ258"/>
      <c r="IK258"/>
      <c r="IL258"/>
      <c r="IM258"/>
      <c r="IN258"/>
      <c r="IO258"/>
      <c r="IP258"/>
      <c r="IQ258"/>
      <c r="IR258"/>
      <c r="IS258"/>
      <c r="IT258"/>
      <c r="IU258"/>
      <c r="IV258"/>
      <c r="IW258"/>
      <c r="IX258"/>
      <c r="IY258"/>
      <c r="IZ258"/>
      <c r="JA258"/>
      <c r="JB258"/>
      <c r="JC258"/>
      <c r="JD258"/>
      <c r="JE258"/>
      <c r="JF258"/>
      <c r="JG258"/>
      <c r="JH258"/>
      <c r="JI258"/>
      <c r="JJ258"/>
      <c r="JK258"/>
      <c r="JL258"/>
      <c r="JM258"/>
      <c r="JN258"/>
      <c r="JO258"/>
      <c r="JP258"/>
      <c r="JQ258"/>
      <c r="JR258"/>
      <c r="JS258"/>
      <c r="JT258"/>
      <c r="JU258"/>
      <c r="JV258"/>
      <c r="JW258"/>
      <c r="JX258"/>
      <c r="JY258"/>
      <c r="JZ258"/>
      <c r="KA258"/>
      <c r="KB258"/>
      <c r="KC258"/>
      <c r="KD258"/>
      <c r="KE258"/>
      <c r="KF258"/>
      <c r="KG258"/>
      <c r="KH258"/>
      <c r="KI258"/>
      <c r="KJ258"/>
      <c r="KK258"/>
      <c r="KL258"/>
      <c r="KM258"/>
      <c r="KN258"/>
      <c r="KO258"/>
      <c r="KP258"/>
      <c r="KQ258"/>
      <c r="KR258"/>
      <c r="KS258"/>
    </row>
    <row r="259" spans="2:305" hidden="1" x14ac:dyDescent="0.25">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c r="FC259"/>
      <c r="FD259"/>
      <c r="FE259"/>
      <c r="FF259"/>
      <c r="FG259"/>
      <c r="FH259"/>
      <c r="FI259"/>
      <c r="FJ259"/>
      <c r="FK259"/>
      <c r="FL259"/>
      <c r="FM259"/>
      <c r="FN259"/>
      <c r="FO259"/>
      <c r="FP259"/>
      <c r="FQ259"/>
      <c r="FR259"/>
      <c r="FS259"/>
      <c r="FT259"/>
      <c r="FU259"/>
      <c r="FV259"/>
      <c r="FW259"/>
      <c r="FX259"/>
      <c r="FY259"/>
      <c r="FZ259"/>
      <c r="GA259"/>
      <c r="GB259"/>
      <c r="GC259"/>
      <c r="GD259"/>
      <c r="GE259"/>
      <c r="GF259"/>
      <c r="GG259"/>
      <c r="GH259"/>
      <c r="GI259"/>
      <c r="GJ259"/>
      <c r="GK259"/>
      <c r="GL259"/>
      <c r="GM259"/>
      <c r="GN259"/>
      <c r="GO259"/>
      <c r="GP259"/>
      <c r="GQ259"/>
      <c r="GR259"/>
      <c r="GS259"/>
      <c r="GT259"/>
      <c r="GU259"/>
      <c r="GV259"/>
      <c r="GW259"/>
      <c r="GX259"/>
      <c r="GY259"/>
      <c r="GZ259"/>
      <c r="HA259"/>
      <c r="HB259"/>
      <c r="HC259"/>
      <c r="HD259"/>
      <c r="HE259"/>
      <c r="HF259"/>
      <c r="HG259"/>
      <c r="HH259"/>
      <c r="HI259"/>
      <c r="HJ259"/>
      <c r="HK259"/>
      <c r="HL259"/>
      <c r="HM259"/>
      <c r="HN259"/>
      <c r="HO259"/>
      <c r="HP259"/>
      <c r="HQ259"/>
      <c r="HR259"/>
      <c r="HS259"/>
      <c r="HT259"/>
      <c r="HU259"/>
      <c r="HV259"/>
      <c r="HW259"/>
      <c r="HX259"/>
      <c r="HY259"/>
      <c r="HZ259"/>
      <c r="IA259"/>
      <c r="IB259"/>
      <c r="IC259"/>
      <c r="ID259"/>
      <c r="IE259"/>
      <c r="IF259"/>
      <c r="IG259"/>
      <c r="IH259"/>
      <c r="II259"/>
      <c r="IJ259"/>
      <c r="IK259"/>
      <c r="IL259"/>
      <c r="IM259"/>
      <c r="IN259"/>
      <c r="IO259"/>
      <c r="IP259"/>
      <c r="IQ259"/>
      <c r="IR259"/>
      <c r="IS259"/>
      <c r="IT259"/>
      <c r="IU259"/>
      <c r="IV259"/>
      <c r="IW259"/>
      <c r="IX259"/>
      <c r="IY259"/>
      <c r="IZ259"/>
      <c r="JA259"/>
      <c r="JB259"/>
      <c r="JC259"/>
      <c r="JD259"/>
      <c r="JE259"/>
      <c r="JF259"/>
      <c r="JG259"/>
      <c r="JH259"/>
      <c r="JI259"/>
      <c r="JJ259"/>
      <c r="JK259"/>
      <c r="JL259"/>
      <c r="JM259"/>
      <c r="JN259"/>
      <c r="JO259"/>
      <c r="JP259"/>
      <c r="JQ259"/>
      <c r="JR259"/>
      <c r="JS259"/>
      <c r="JT259"/>
      <c r="JU259"/>
      <c r="JV259"/>
      <c r="JW259"/>
      <c r="JX259"/>
      <c r="JY259"/>
      <c r="JZ259"/>
      <c r="KA259"/>
      <c r="KB259"/>
      <c r="KC259"/>
      <c r="KD259"/>
      <c r="KE259"/>
      <c r="KF259"/>
      <c r="KG259"/>
      <c r="KH259"/>
      <c r="KI259"/>
      <c r="KJ259"/>
      <c r="KK259"/>
      <c r="KL259"/>
      <c r="KM259"/>
      <c r="KN259"/>
      <c r="KO259"/>
      <c r="KP259"/>
      <c r="KQ259"/>
      <c r="KR259"/>
      <c r="KS259"/>
    </row>
    <row r="260" spans="2:305" hidden="1" x14ac:dyDescent="0.25">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c r="FC260"/>
      <c r="FD260"/>
      <c r="FE260"/>
      <c r="FF260"/>
      <c r="FG260"/>
      <c r="FH260"/>
      <c r="FI260"/>
      <c r="FJ260"/>
      <c r="FK260"/>
      <c r="FL260"/>
      <c r="FM260"/>
      <c r="FN260"/>
      <c r="FO260"/>
      <c r="FP260"/>
      <c r="FQ260"/>
      <c r="FR260"/>
      <c r="FS260"/>
      <c r="FT260"/>
      <c r="FU260"/>
      <c r="FV260"/>
      <c r="FW260"/>
      <c r="FX260"/>
      <c r="FY260"/>
      <c r="FZ260"/>
      <c r="GA260"/>
      <c r="GB260"/>
      <c r="GC260"/>
      <c r="GD260"/>
      <c r="GE260"/>
      <c r="GF260"/>
      <c r="GG260"/>
      <c r="GH260"/>
      <c r="GI260"/>
      <c r="GJ260"/>
      <c r="GK260"/>
      <c r="GL260"/>
      <c r="GM260"/>
      <c r="GN260"/>
      <c r="GO260"/>
      <c r="GP260"/>
      <c r="GQ260"/>
      <c r="GR260"/>
      <c r="GS260"/>
      <c r="GT260"/>
      <c r="GU260"/>
      <c r="GV260"/>
      <c r="GW260"/>
      <c r="GX260"/>
      <c r="GY260"/>
      <c r="GZ260"/>
      <c r="HA260"/>
      <c r="HB260"/>
      <c r="HC260"/>
      <c r="HD260"/>
      <c r="HE260"/>
      <c r="HF260"/>
      <c r="HG260"/>
      <c r="HH260"/>
      <c r="HI260"/>
      <c r="HJ260"/>
      <c r="HK260"/>
      <c r="HL260"/>
      <c r="HM260"/>
      <c r="HN260"/>
      <c r="HO260"/>
      <c r="HP260"/>
      <c r="HQ260"/>
      <c r="HR260"/>
      <c r="HS260"/>
      <c r="HT260"/>
      <c r="HU260"/>
      <c r="HV260"/>
      <c r="HW260"/>
      <c r="HX260"/>
      <c r="HY260"/>
      <c r="HZ260"/>
      <c r="IA260"/>
      <c r="IB260"/>
      <c r="IC260"/>
      <c r="ID260"/>
      <c r="IE260"/>
      <c r="IF260"/>
      <c r="IG260"/>
      <c r="IH260"/>
      <c r="II260"/>
      <c r="IJ260"/>
      <c r="IK260"/>
      <c r="IL260"/>
      <c r="IM260"/>
      <c r="IN260"/>
      <c r="IO260"/>
      <c r="IP260"/>
      <c r="IQ260"/>
      <c r="IR260"/>
      <c r="IS260"/>
      <c r="IT260"/>
      <c r="IU260"/>
      <c r="IV260"/>
      <c r="IW260"/>
      <c r="IX260"/>
      <c r="IY260"/>
      <c r="IZ260"/>
      <c r="JA260"/>
      <c r="JB260"/>
      <c r="JC260"/>
      <c r="JD260"/>
      <c r="JE260"/>
      <c r="JF260"/>
      <c r="JG260"/>
      <c r="JH260"/>
      <c r="JI260"/>
      <c r="JJ260"/>
      <c r="JK260"/>
      <c r="JL260"/>
      <c r="JM260"/>
      <c r="JN260"/>
      <c r="JO260"/>
      <c r="JP260"/>
      <c r="JQ260"/>
      <c r="JR260"/>
      <c r="JS260"/>
      <c r="JT260"/>
      <c r="JU260"/>
      <c r="JV260"/>
      <c r="JW260"/>
      <c r="JX260"/>
      <c r="JY260"/>
      <c r="JZ260"/>
      <c r="KA260"/>
      <c r="KB260"/>
      <c r="KC260"/>
      <c r="KD260"/>
      <c r="KE260"/>
      <c r="KF260"/>
      <c r="KG260"/>
      <c r="KH260"/>
      <c r="KI260"/>
      <c r="KJ260"/>
      <c r="KK260"/>
      <c r="KL260"/>
      <c r="KM260"/>
      <c r="KN260"/>
      <c r="KO260"/>
      <c r="KP260"/>
      <c r="KQ260"/>
      <c r="KR260"/>
      <c r="KS260"/>
    </row>
    <row r="261" spans="2:305" hidden="1" x14ac:dyDescent="0.25">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c r="FC261"/>
      <c r="FD261"/>
      <c r="FE261"/>
      <c r="FF261"/>
      <c r="FG261"/>
      <c r="FH261"/>
      <c r="FI261"/>
      <c r="FJ261"/>
      <c r="FK261"/>
      <c r="FL261"/>
      <c r="FM261"/>
      <c r="FN261"/>
      <c r="FO261"/>
      <c r="FP261"/>
      <c r="FQ261"/>
      <c r="FR261"/>
      <c r="FS261"/>
      <c r="FT261"/>
      <c r="FU261"/>
      <c r="FV261"/>
      <c r="FW261"/>
      <c r="FX261"/>
      <c r="FY261"/>
      <c r="FZ261"/>
      <c r="GA261"/>
      <c r="GB261"/>
      <c r="GC261"/>
      <c r="GD261"/>
      <c r="GE261"/>
      <c r="GF261"/>
      <c r="GG261"/>
      <c r="GH261"/>
      <c r="GI261"/>
      <c r="GJ261"/>
      <c r="GK261"/>
      <c r="GL261"/>
      <c r="GM261"/>
      <c r="GN261"/>
      <c r="GO261"/>
      <c r="GP261"/>
      <c r="GQ261"/>
      <c r="GR261"/>
      <c r="GS261"/>
      <c r="GT261"/>
      <c r="GU261"/>
      <c r="GV261"/>
      <c r="GW261"/>
      <c r="GX261"/>
      <c r="GY261"/>
      <c r="GZ261"/>
      <c r="HA261"/>
      <c r="HB261"/>
      <c r="HC261"/>
      <c r="HD261"/>
      <c r="HE261"/>
      <c r="HF261"/>
      <c r="HG261"/>
      <c r="HH261"/>
      <c r="HI261"/>
      <c r="HJ261"/>
      <c r="HK261"/>
      <c r="HL261"/>
      <c r="HM261"/>
      <c r="HN261"/>
      <c r="HO261"/>
      <c r="HP261"/>
      <c r="HQ261"/>
      <c r="HR261"/>
      <c r="HS261"/>
      <c r="HT261"/>
      <c r="HU261"/>
      <c r="HV261"/>
      <c r="HW261"/>
      <c r="HX261"/>
      <c r="HY261"/>
      <c r="HZ261"/>
      <c r="IA261"/>
      <c r="IB261"/>
      <c r="IC261"/>
      <c r="ID261"/>
      <c r="IE261"/>
      <c r="IF261"/>
      <c r="IG261"/>
      <c r="IH261"/>
      <c r="II261"/>
      <c r="IJ261"/>
      <c r="IK261"/>
      <c r="IL261"/>
      <c r="IM261"/>
      <c r="IN261"/>
      <c r="IO261"/>
      <c r="IP261"/>
      <c r="IQ261"/>
      <c r="IR261"/>
      <c r="IS261"/>
      <c r="IT261"/>
      <c r="IU261"/>
      <c r="IV261"/>
      <c r="IW261"/>
      <c r="IX261"/>
      <c r="IY261"/>
      <c r="IZ261"/>
      <c r="JA261"/>
      <c r="JB261"/>
      <c r="JC261"/>
      <c r="JD261"/>
      <c r="JE261"/>
      <c r="JF261"/>
      <c r="JG261"/>
      <c r="JH261"/>
      <c r="JI261"/>
      <c r="JJ261"/>
      <c r="JK261"/>
      <c r="JL261"/>
      <c r="JM261"/>
      <c r="JN261"/>
      <c r="JO261"/>
      <c r="JP261"/>
      <c r="JQ261"/>
      <c r="JR261"/>
      <c r="JS261"/>
      <c r="JT261"/>
      <c r="JU261"/>
      <c r="JV261"/>
      <c r="JW261"/>
      <c r="JX261"/>
      <c r="JY261"/>
      <c r="JZ261"/>
      <c r="KA261"/>
      <c r="KB261"/>
      <c r="KC261"/>
      <c r="KD261"/>
      <c r="KE261"/>
      <c r="KF261"/>
      <c r="KG261"/>
      <c r="KH261"/>
      <c r="KI261"/>
      <c r="KJ261"/>
      <c r="KK261"/>
      <c r="KL261"/>
      <c r="KM261"/>
      <c r="KN261"/>
      <c r="KO261"/>
      <c r="KP261"/>
      <c r="KQ261"/>
      <c r="KR261"/>
      <c r="KS261"/>
    </row>
    <row r="262" spans="2:305" hidden="1" x14ac:dyDescent="0.25">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c r="FC262"/>
      <c r="FD262"/>
      <c r="FE262"/>
      <c r="FF262"/>
      <c r="FG262"/>
      <c r="FH262"/>
      <c r="FI262"/>
      <c r="FJ262"/>
      <c r="FK262"/>
      <c r="FL262"/>
      <c r="FM262"/>
      <c r="FN262"/>
      <c r="FO262"/>
      <c r="FP262"/>
      <c r="FQ262"/>
      <c r="FR262"/>
      <c r="FS262"/>
      <c r="FT262"/>
      <c r="FU262"/>
      <c r="FV262"/>
      <c r="FW262"/>
      <c r="FX262"/>
      <c r="FY262"/>
      <c r="FZ262"/>
      <c r="GA262"/>
      <c r="GB262"/>
      <c r="GC262"/>
      <c r="GD262"/>
      <c r="GE262"/>
      <c r="GF262"/>
      <c r="GG262"/>
      <c r="GH262"/>
      <c r="GI262"/>
      <c r="GJ262"/>
      <c r="GK262"/>
      <c r="GL262"/>
      <c r="GM262"/>
      <c r="GN262"/>
      <c r="GO262"/>
      <c r="GP262"/>
      <c r="GQ262"/>
      <c r="GR262"/>
      <c r="GS262"/>
      <c r="GT262"/>
      <c r="GU262"/>
      <c r="GV262"/>
      <c r="GW262"/>
      <c r="GX262"/>
      <c r="GY262"/>
      <c r="GZ262"/>
      <c r="HA262"/>
      <c r="HB262"/>
      <c r="HC262"/>
      <c r="HD262"/>
      <c r="HE262"/>
      <c r="HF262"/>
      <c r="HG262"/>
      <c r="HH262"/>
      <c r="HI262"/>
      <c r="HJ262"/>
      <c r="HK262"/>
      <c r="HL262"/>
      <c r="HM262"/>
      <c r="HN262"/>
      <c r="HO262"/>
      <c r="HP262"/>
      <c r="HQ262"/>
      <c r="HR262"/>
      <c r="HS262"/>
      <c r="HT262"/>
      <c r="HU262"/>
      <c r="HV262"/>
      <c r="HW262"/>
      <c r="HX262"/>
      <c r="HY262"/>
      <c r="HZ262"/>
      <c r="IA262"/>
      <c r="IB262"/>
      <c r="IC262"/>
      <c r="ID262"/>
      <c r="IE262"/>
      <c r="IF262"/>
      <c r="IG262"/>
      <c r="IH262"/>
      <c r="II262"/>
      <c r="IJ262"/>
      <c r="IK262"/>
      <c r="IL262"/>
      <c r="IM262"/>
      <c r="IN262"/>
      <c r="IO262"/>
      <c r="IP262"/>
      <c r="IQ262"/>
      <c r="IR262"/>
      <c r="IS262"/>
      <c r="IT262"/>
      <c r="IU262"/>
      <c r="IV262"/>
      <c r="IW262"/>
      <c r="IX262"/>
      <c r="IY262"/>
      <c r="IZ262"/>
      <c r="JA262"/>
      <c r="JB262"/>
      <c r="JC262"/>
      <c r="JD262"/>
      <c r="JE262"/>
      <c r="JF262"/>
      <c r="JG262"/>
      <c r="JH262"/>
      <c r="JI262"/>
      <c r="JJ262"/>
      <c r="JK262"/>
      <c r="JL262"/>
      <c r="JM262"/>
      <c r="JN262"/>
      <c r="JO262"/>
      <c r="JP262"/>
      <c r="JQ262"/>
      <c r="JR262"/>
      <c r="JS262"/>
      <c r="JT262"/>
      <c r="JU262"/>
      <c r="JV262"/>
      <c r="JW262"/>
      <c r="JX262"/>
      <c r="JY262"/>
      <c r="JZ262"/>
      <c r="KA262"/>
      <c r="KB262"/>
      <c r="KC262"/>
      <c r="KD262"/>
      <c r="KE262"/>
      <c r="KF262"/>
      <c r="KG262"/>
      <c r="KH262"/>
      <c r="KI262"/>
      <c r="KJ262"/>
      <c r="KK262"/>
      <c r="KL262"/>
      <c r="KM262"/>
      <c r="KN262"/>
      <c r="KO262"/>
      <c r="KP262"/>
      <c r="KQ262"/>
      <c r="KR262"/>
      <c r="KS262"/>
    </row>
    <row r="263" spans="2:305" hidden="1" x14ac:dyDescent="0.25">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c r="FC263"/>
      <c r="FD263"/>
      <c r="FE263"/>
      <c r="FF263"/>
      <c r="FG263"/>
      <c r="FH263"/>
      <c r="FI263"/>
      <c r="FJ263"/>
      <c r="FK263"/>
      <c r="FL263"/>
      <c r="FM263"/>
      <c r="FN263"/>
      <c r="FO263"/>
      <c r="FP263"/>
      <c r="FQ263"/>
      <c r="FR263"/>
      <c r="FS263"/>
      <c r="FT263"/>
      <c r="FU263"/>
      <c r="FV263"/>
      <c r="FW263"/>
      <c r="FX263"/>
      <c r="FY263"/>
      <c r="FZ263"/>
      <c r="GA263"/>
      <c r="GB263"/>
      <c r="GC263"/>
      <c r="GD263"/>
      <c r="GE263"/>
      <c r="GF263"/>
      <c r="GG263"/>
      <c r="GH263"/>
      <c r="GI263"/>
      <c r="GJ263"/>
      <c r="GK263"/>
      <c r="GL263"/>
      <c r="GM263"/>
      <c r="GN263"/>
      <c r="GO263"/>
      <c r="GP263"/>
      <c r="GQ263"/>
      <c r="GR263"/>
      <c r="GS263"/>
      <c r="GT263"/>
      <c r="GU263"/>
      <c r="GV263"/>
      <c r="GW263"/>
      <c r="GX263"/>
      <c r="GY263"/>
      <c r="GZ263"/>
      <c r="HA263"/>
      <c r="HB263"/>
      <c r="HC263"/>
      <c r="HD263"/>
      <c r="HE263"/>
      <c r="HF263"/>
      <c r="HG263"/>
      <c r="HH263"/>
      <c r="HI263"/>
      <c r="HJ263"/>
      <c r="HK263"/>
      <c r="HL263"/>
      <c r="HM263"/>
      <c r="HN263"/>
      <c r="HO263"/>
      <c r="HP263"/>
      <c r="HQ263"/>
      <c r="HR263"/>
      <c r="HS263"/>
      <c r="HT263"/>
      <c r="HU263"/>
      <c r="HV263"/>
      <c r="HW263"/>
      <c r="HX263"/>
      <c r="HY263"/>
      <c r="HZ263"/>
      <c r="IA263"/>
      <c r="IB263"/>
      <c r="IC263"/>
      <c r="ID263"/>
      <c r="IE263"/>
      <c r="IF263"/>
      <c r="IG263"/>
      <c r="IH263"/>
      <c r="II263"/>
      <c r="IJ263"/>
      <c r="IK263"/>
      <c r="IL263"/>
      <c r="IM263"/>
      <c r="IN263"/>
      <c r="IO263"/>
      <c r="IP263"/>
      <c r="IQ263"/>
      <c r="IR263"/>
      <c r="IS263"/>
      <c r="IT263"/>
      <c r="IU263"/>
      <c r="IV263"/>
      <c r="IW263"/>
      <c r="IX263"/>
      <c r="IY263"/>
      <c r="IZ263"/>
      <c r="JA263"/>
      <c r="JB263"/>
      <c r="JC263"/>
      <c r="JD263"/>
      <c r="JE263"/>
      <c r="JF263"/>
      <c r="JG263"/>
      <c r="JH263"/>
      <c r="JI263"/>
      <c r="JJ263"/>
      <c r="JK263"/>
      <c r="JL263"/>
      <c r="JM263"/>
      <c r="JN263"/>
      <c r="JO263"/>
      <c r="JP263"/>
      <c r="JQ263"/>
      <c r="JR263"/>
      <c r="JS263"/>
      <c r="JT263"/>
      <c r="JU263"/>
      <c r="JV263"/>
      <c r="JW263"/>
      <c r="JX263"/>
      <c r="JY263"/>
      <c r="JZ263"/>
      <c r="KA263"/>
      <c r="KB263"/>
      <c r="KC263"/>
      <c r="KD263"/>
      <c r="KE263"/>
      <c r="KF263"/>
      <c r="KG263"/>
      <c r="KH263"/>
      <c r="KI263"/>
      <c r="KJ263"/>
      <c r="KK263"/>
      <c r="KL263"/>
      <c r="KM263"/>
      <c r="KN263"/>
      <c r="KO263"/>
      <c r="KP263"/>
      <c r="KQ263"/>
      <c r="KR263"/>
      <c r="KS263"/>
    </row>
    <row r="264" spans="2:305" hidden="1" x14ac:dyDescent="0.25">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c r="FC264"/>
      <c r="FD264"/>
      <c r="FE264"/>
      <c r="FF264"/>
      <c r="FG264"/>
      <c r="FH264"/>
      <c r="FI264"/>
      <c r="FJ264"/>
      <c r="FK264"/>
      <c r="FL264"/>
      <c r="FM264"/>
      <c r="FN264"/>
      <c r="FO264"/>
      <c r="FP264"/>
      <c r="FQ264"/>
      <c r="FR264"/>
      <c r="FS264"/>
      <c r="FT264"/>
      <c r="FU264"/>
      <c r="FV264"/>
      <c r="FW264"/>
      <c r="FX264"/>
      <c r="FY264"/>
      <c r="FZ264"/>
      <c r="GA264"/>
      <c r="GB264"/>
      <c r="GC264"/>
      <c r="GD264"/>
      <c r="GE264"/>
      <c r="GF264"/>
      <c r="GG264"/>
      <c r="GH264"/>
      <c r="GI264"/>
      <c r="GJ264"/>
      <c r="GK264"/>
      <c r="GL264"/>
      <c r="GM264"/>
      <c r="GN264"/>
      <c r="GO264"/>
      <c r="GP264"/>
      <c r="GQ264"/>
      <c r="GR264"/>
      <c r="GS264"/>
      <c r="GT264"/>
      <c r="GU264"/>
      <c r="GV264"/>
      <c r="GW264"/>
      <c r="GX264"/>
      <c r="GY264"/>
      <c r="GZ264"/>
      <c r="HA264"/>
      <c r="HB264"/>
      <c r="HC264"/>
      <c r="HD264"/>
      <c r="HE264"/>
      <c r="HF264"/>
      <c r="HG264"/>
      <c r="HH264"/>
      <c r="HI264"/>
      <c r="HJ264"/>
      <c r="HK264"/>
      <c r="HL264"/>
      <c r="HM264"/>
      <c r="HN264"/>
      <c r="HO264"/>
      <c r="HP264"/>
      <c r="HQ264"/>
      <c r="HR264"/>
      <c r="HS264"/>
      <c r="HT264"/>
      <c r="HU264"/>
      <c r="HV264"/>
      <c r="HW264"/>
      <c r="HX264"/>
      <c r="HY264"/>
      <c r="HZ264"/>
      <c r="IA264"/>
      <c r="IB264"/>
      <c r="IC264"/>
      <c r="ID264"/>
      <c r="IE264"/>
      <c r="IF264"/>
      <c r="IG264"/>
      <c r="IH264"/>
      <c r="II264"/>
      <c r="IJ264"/>
      <c r="IK264"/>
      <c r="IL264"/>
      <c r="IM264"/>
      <c r="IN264"/>
      <c r="IO264"/>
      <c r="IP264"/>
      <c r="IQ264"/>
      <c r="IR264"/>
      <c r="IS264"/>
      <c r="IT264"/>
      <c r="IU264"/>
      <c r="IV264"/>
      <c r="IW264"/>
      <c r="IX264"/>
      <c r="IY264"/>
      <c r="IZ264"/>
      <c r="JA264"/>
      <c r="JB264"/>
      <c r="JC264"/>
      <c r="JD264"/>
      <c r="JE264"/>
      <c r="JF264"/>
      <c r="JG264"/>
      <c r="JH264"/>
      <c r="JI264"/>
      <c r="JJ264"/>
      <c r="JK264"/>
      <c r="JL264"/>
      <c r="JM264"/>
      <c r="JN264"/>
      <c r="JO264"/>
      <c r="JP264"/>
      <c r="JQ264"/>
      <c r="JR264"/>
      <c r="JS264"/>
      <c r="JT264"/>
      <c r="JU264"/>
      <c r="JV264"/>
      <c r="JW264"/>
      <c r="JX264"/>
      <c r="JY264"/>
      <c r="JZ264"/>
      <c r="KA264"/>
      <c r="KB264"/>
      <c r="KC264"/>
      <c r="KD264"/>
      <c r="KE264"/>
      <c r="KF264"/>
      <c r="KG264"/>
      <c r="KH264"/>
      <c r="KI264"/>
      <c r="KJ264"/>
      <c r="KK264"/>
      <c r="KL264"/>
      <c r="KM264"/>
      <c r="KN264"/>
      <c r="KO264"/>
      <c r="KP264"/>
      <c r="KQ264"/>
      <c r="KR264"/>
      <c r="KS264"/>
    </row>
    <row r="265" spans="2:305" hidden="1" x14ac:dyDescent="0.2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c r="FC265"/>
      <c r="FD265"/>
      <c r="FE265"/>
      <c r="FF265"/>
      <c r="FG265"/>
      <c r="FH265"/>
      <c r="FI265"/>
      <c r="FJ265"/>
      <c r="FK265"/>
      <c r="FL265"/>
      <c r="FM265"/>
      <c r="FN265"/>
      <c r="FO265"/>
      <c r="FP265"/>
      <c r="FQ265"/>
      <c r="FR265"/>
      <c r="FS265"/>
      <c r="FT265"/>
      <c r="FU265"/>
      <c r="FV265"/>
      <c r="FW265"/>
      <c r="FX265"/>
      <c r="FY265"/>
      <c r="FZ265"/>
      <c r="GA265"/>
      <c r="GB265"/>
      <c r="GC265"/>
      <c r="GD265"/>
      <c r="GE265"/>
      <c r="GF265"/>
      <c r="GG265"/>
      <c r="GH265"/>
      <c r="GI265"/>
      <c r="GJ265"/>
      <c r="GK265"/>
      <c r="GL265"/>
      <c r="GM265"/>
      <c r="GN265"/>
      <c r="GO265"/>
      <c r="GP265"/>
      <c r="GQ265"/>
      <c r="GR265"/>
      <c r="GS265"/>
      <c r="GT265"/>
      <c r="GU265"/>
      <c r="GV265"/>
      <c r="GW265"/>
      <c r="GX265"/>
      <c r="GY265"/>
      <c r="GZ265"/>
      <c r="HA265"/>
      <c r="HB265"/>
      <c r="HC265"/>
      <c r="HD265"/>
      <c r="HE265"/>
      <c r="HF265"/>
      <c r="HG265"/>
      <c r="HH265"/>
      <c r="HI265"/>
      <c r="HJ265"/>
      <c r="HK265"/>
      <c r="HL265"/>
      <c r="HM265"/>
      <c r="HN265"/>
      <c r="HO265"/>
      <c r="HP265"/>
      <c r="HQ265"/>
      <c r="HR265"/>
      <c r="HS265"/>
      <c r="HT265"/>
      <c r="HU265"/>
      <c r="HV265"/>
      <c r="HW265"/>
      <c r="HX265"/>
      <c r="HY265"/>
      <c r="HZ265"/>
      <c r="IA265"/>
      <c r="IB265"/>
      <c r="IC265"/>
      <c r="ID265"/>
      <c r="IE265"/>
      <c r="IF265"/>
      <c r="IG265"/>
      <c r="IH265"/>
      <c r="II265"/>
      <c r="IJ265"/>
      <c r="IK265"/>
      <c r="IL265"/>
      <c r="IM265"/>
      <c r="IN265"/>
      <c r="IO265"/>
      <c r="IP265"/>
      <c r="IQ265"/>
      <c r="IR265"/>
      <c r="IS265"/>
      <c r="IT265"/>
      <c r="IU265"/>
      <c r="IV265"/>
      <c r="IW265"/>
      <c r="IX265"/>
      <c r="IY265"/>
      <c r="IZ265"/>
      <c r="JA265"/>
      <c r="JB265"/>
      <c r="JC265"/>
      <c r="JD265"/>
      <c r="JE265"/>
      <c r="JF265"/>
      <c r="JG265"/>
      <c r="JH265"/>
      <c r="JI265"/>
      <c r="JJ265"/>
      <c r="JK265"/>
      <c r="JL265"/>
      <c r="JM265"/>
      <c r="JN265"/>
      <c r="JO265"/>
      <c r="JP265"/>
      <c r="JQ265"/>
      <c r="JR265"/>
      <c r="JS265"/>
      <c r="JT265"/>
      <c r="JU265"/>
      <c r="JV265"/>
      <c r="JW265"/>
      <c r="JX265"/>
      <c r="JY265"/>
      <c r="JZ265"/>
      <c r="KA265"/>
      <c r="KB265"/>
      <c r="KC265"/>
      <c r="KD265"/>
      <c r="KE265"/>
      <c r="KF265"/>
      <c r="KG265"/>
      <c r="KH265"/>
      <c r="KI265"/>
      <c r="KJ265"/>
      <c r="KK265"/>
      <c r="KL265"/>
      <c r="KM265"/>
      <c r="KN265"/>
      <c r="KO265"/>
      <c r="KP265"/>
      <c r="KQ265"/>
      <c r="KR265"/>
      <c r="KS265"/>
    </row>
    <row r="266" spans="2:305" hidden="1" x14ac:dyDescent="0.25">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c r="FC266"/>
      <c r="FD266"/>
      <c r="FE266"/>
      <c r="FF266"/>
      <c r="FG266"/>
      <c r="FH266"/>
      <c r="FI266"/>
      <c r="FJ266"/>
      <c r="FK266"/>
      <c r="FL266"/>
      <c r="FM266"/>
      <c r="FN266"/>
      <c r="FO266"/>
      <c r="FP266"/>
      <c r="FQ266"/>
      <c r="FR266"/>
      <c r="FS266"/>
      <c r="FT266"/>
      <c r="FU266"/>
      <c r="FV266"/>
      <c r="FW266"/>
      <c r="FX266"/>
      <c r="FY266"/>
      <c r="FZ266"/>
      <c r="GA266"/>
      <c r="GB266"/>
      <c r="GC266"/>
      <c r="GD266"/>
      <c r="GE266"/>
      <c r="GF266"/>
      <c r="GG266"/>
      <c r="GH266"/>
      <c r="GI266"/>
      <c r="GJ266"/>
      <c r="GK266"/>
      <c r="GL266"/>
      <c r="GM266"/>
      <c r="GN266"/>
      <c r="GO266"/>
      <c r="GP266"/>
      <c r="GQ266"/>
      <c r="GR266"/>
      <c r="GS266"/>
      <c r="GT266"/>
      <c r="GU266"/>
      <c r="GV266"/>
      <c r="GW266"/>
      <c r="GX266"/>
      <c r="GY266"/>
      <c r="GZ266"/>
      <c r="HA266"/>
      <c r="HB266"/>
      <c r="HC266"/>
      <c r="HD266"/>
      <c r="HE266"/>
      <c r="HF266"/>
      <c r="HG266"/>
      <c r="HH266"/>
      <c r="HI266"/>
      <c r="HJ266"/>
      <c r="HK266"/>
      <c r="HL266"/>
      <c r="HM266"/>
      <c r="HN266"/>
      <c r="HO266"/>
      <c r="HP266"/>
      <c r="HQ266"/>
      <c r="HR266"/>
      <c r="HS266"/>
      <c r="HT266"/>
      <c r="HU266"/>
      <c r="HV266"/>
      <c r="HW266"/>
      <c r="HX266"/>
      <c r="HY266"/>
      <c r="HZ266"/>
      <c r="IA266"/>
      <c r="IB266"/>
      <c r="IC266"/>
      <c r="ID266"/>
      <c r="IE266"/>
      <c r="IF266"/>
      <c r="IG266"/>
      <c r="IH266"/>
      <c r="II266"/>
      <c r="IJ266"/>
      <c r="IK266"/>
      <c r="IL266"/>
      <c r="IM266"/>
      <c r="IN266"/>
      <c r="IO266"/>
      <c r="IP266"/>
      <c r="IQ266"/>
      <c r="IR266"/>
      <c r="IS266"/>
      <c r="IT266"/>
      <c r="IU266"/>
      <c r="IV266"/>
      <c r="IW266"/>
      <c r="IX266"/>
      <c r="IY266"/>
      <c r="IZ266"/>
      <c r="JA266"/>
      <c r="JB266"/>
      <c r="JC266"/>
      <c r="JD266"/>
      <c r="JE266"/>
      <c r="JF266"/>
      <c r="JG266"/>
      <c r="JH266"/>
      <c r="JI266"/>
      <c r="JJ266"/>
      <c r="JK266"/>
      <c r="JL266"/>
      <c r="JM266"/>
      <c r="JN266"/>
      <c r="JO266"/>
      <c r="JP266"/>
      <c r="JQ266"/>
      <c r="JR266"/>
      <c r="JS266"/>
      <c r="JT266"/>
      <c r="JU266"/>
      <c r="JV266"/>
      <c r="JW266"/>
      <c r="JX266"/>
      <c r="JY266"/>
      <c r="JZ266"/>
      <c r="KA266"/>
      <c r="KB266"/>
      <c r="KC266"/>
      <c r="KD266"/>
      <c r="KE266"/>
      <c r="KF266"/>
      <c r="KG266"/>
      <c r="KH266"/>
      <c r="KI266"/>
      <c r="KJ266"/>
      <c r="KK266"/>
      <c r="KL266"/>
      <c r="KM266"/>
      <c r="KN266"/>
      <c r="KO266"/>
      <c r="KP266"/>
      <c r="KQ266"/>
      <c r="KR266"/>
      <c r="KS266"/>
    </row>
    <row r="267" spans="2:305" hidden="1" x14ac:dyDescent="0.25">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c r="FC267"/>
      <c r="FD267"/>
      <c r="FE267"/>
      <c r="FF267"/>
      <c r="FG267"/>
      <c r="FH267"/>
      <c r="FI267"/>
      <c r="FJ267"/>
      <c r="FK267"/>
      <c r="FL267"/>
      <c r="FM267"/>
      <c r="FN267"/>
      <c r="FO267"/>
      <c r="FP267"/>
      <c r="FQ267"/>
      <c r="FR267"/>
      <c r="FS267"/>
      <c r="FT267"/>
      <c r="FU267"/>
      <c r="FV267"/>
      <c r="FW267"/>
      <c r="FX267"/>
      <c r="FY267"/>
      <c r="FZ267"/>
      <c r="GA267"/>
      <c r="GB267"/>
      <c r="GC267"/>
      <c r="GD267"/>
      <c r="GE267"/>
      <c r="GF267"/>
      <c r="GG267"/>
      <c r="GH267"/>
      <c r="GI267"/>
      <c r="GJ267"/>
      <c r="GK267"/>
      <c r="GL267"/>
      <c r="GM267"/>
      <c r="GN267"/>
      <c r="GO267"/>
      <c r="GP267"/>
      <c r="GQ267"/>
      <c r="GR267"/>
      <c r="GS267"/>
      <c r="GT267"/>
      <c r="GU267"/>
      <c r="GV267"/>
      <c r="GW267"/>
      <c r="GX267"/>
      <c r="GY267"/>
      <c r="GZ267"/>
      <c r="HA267"/>
      <c r="HB267"/>
      <c r="HC267"/>
      <c r="HD267"/>
      <c r="HE267"/>
      <c r="HF267"/>
      <c r="HG267"/>
      <c r="HH267"/>
      <c r="HI267"/>
      <c r="HJ267"/>
      <c r="HK267"/>
      <c r="HL267"/>
      <c r="HM267"/>
      <c r="HN267"/>
      <c r="HO267"/>
      <c r="HP267"/>
      <c r="HQ267"/>
      <c r="HR267"/>
      <c r="HS267"/>
      <c r="HT267"/>
      <c r="HU267"/>
      <c r="HV267"/>
      <c r="HW267"/>
      <c r="HX267"/>
      <c r="HY267"/>
      <c r="HZ267"/>
      <c r="IA267"/>
      <c r="IB267"/>
      <c r="IC267"/>
      <c r="ID267"/>
      <c r="IE267"/>
      <c r="IF267"/>
      <c r="IG267"/>
      <c r="IH267"/>
      <c r="II267"/>
      <c r="IJ267"/>
      <c r="IK267"/>
      <c r="IL267"/>
      <c r="IM267"/>
      <c r="IN267"/>
      <c r="IO267"/>
      <c r="IP267"/>
      <c r="IQ267"/>
      <c r="IR267"/>
      <c r="IS267"/>
      <c r="IT267"/>
      <c r="IU267"/>
      <c r="IV267"/>
      <c r="IW267"/>
      <c r="IX267"/>
      <c r="IY267"/>
      <c r="IZ267"/>
      <c r="JA267"/>
      <c r="JB267"/>
      <c r="JC267"/>
      <c r="JD267"/>
      <c r="JE267"/>
      <c r="JF267"/>
      <c r="JG267"/>
      <c r="JH267"/>
      <c r="JI267"/>
      <c r="JJ267"/>
      <c r="JK267"/>
      <c r="JL267"/>
      <c r="JM267"/>
      <c r="JN267"/>
      <c r="JO267"/>
      <c r="JP267"/>
      <c r="JQ267"/>
      <c r="JR267"/>
      <c r="JS267"/>
      <c r="JT267"/>
      <c r="JU267"/>
      <c r="JV267"/>
      <c r="JW267"/>
      <c r="JX267"/>
      <c r="JY267"/>
      <c r="JZ267"/>
      <c r="KA267"/>
      <c r="KB267"/>
      <c r="KC267"/>
      <c r="KD267"/>
      <c r="KE267"/>
      <c r="KF267"/>
      <c r="KG267"/>
      <c r="KH267"/>
      <c r="KI267"/>
      <c r="KJ267"/>
      <c r="KK267"/>
      <c r="KL267"/>
      <c r="KM267"/>
      <c r="KN267"/>
      <c r="KO267"/>
      <c r="KP267"/>
      <c r="KQ267"/>
      <c r="KR267"/>
      <c r="KS267"/>
    </row>
    <row r="268" spans="2:305" hidden="1" x14ac:dyDescent="0.25">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c r="FC268"/>
      <c r="FD268"/>
      <c r="FE268"/>
      <c r="FF268"/>
      <c r="FG268"/>
      <c r="FH268"/>
      <c r="FI268"/>
      <c r="FJ268"/>
      <c r="FK268"/>
      <c r="FL268"/>
      <c r="FM268"/>
      <c r="FN268"/>
      <c r="FO268"/>
      <c r="FP268"/>
      <c r="FQ268"/>
      <c r="FR268"/>
      <c r="FS268"/>
      <c r="FT268"/>
      <c r="FU268"/>
      <c r="FV268"/>
      <c r="FW268"/>
      <c r="FX268"/>
      <c r="FY268"/>
      <c r="FZ268"/>
      <c r="GA268"/>
      <c r="GB268"/>
      <c r="GC268"/>
      <c r="GD268"/>
      <c r="GE268"/>
      <c r="GF268"/>
      <c r="GG268"/>
      <c r="GH268"/>
      <c r="GI268"/>
      <c r="GJ268"/>
      <c r="GK268"/>
      <c r="GL268"/>
      <c r="GM268"/>
      <c r="GN268"/>
      <c r="GO268"/>
      <c r="GP268"/>
      <c r="GQ268"/>
      <c r="GR268"/>
      <c r="GS268"/>
      <c r="GT268"/>
      <c r="GU268"/>
      <c r="GV268"/>
      <c r="GW268"/>
      <c r="GX268"/>
      <c r="GY268"/>
      <c r="GZ268"/>
      <c r="HA268"/>
      <c r="HB268"/>
      <c r="HC268"/>
      <c r="HD268"/>
      <c r="HE268"/>
      <c r="HF268"/>
      <c r="HG268"/>
      <c r="HH268"/>
      <c r="HI268"/>
      <c r="HJ268"/>
      <c r="HK268"/>
      <c r="HL268"/>
      <c r="HM268"/>
      <c r="HN268"/>
      <c r="HO268"/>
      <c r="HP268"/>
      <c r="HQ268"/>
      <c r="HR268"/>
      <c r="HS268"/>
      <c r="HT268"/>
      <c r="HU268"/>
      <c r="HV268"/>
      <c r="HW268"/>
      <c r="HX268"/>
      <c r="HY268"/>
      <c r="HZ268"/>
      <c r="IA268"/>
      <c r="IB268"/>
      <c r="IC268"/>
      <c r="ID268"/>
      <c r="IE268"/>
      <c r="IF268"/>
      <c r="IG268"/>
      <c r="IH268"/>
      <c r="II268"/>
      <c r="IJ268"/>
      <c r="IK268"/>
      <c r="IL268"/>
      <c r="IM268"/>
      <c r="IN268"/>
      <c r="IO268"/>
      <c r="IP268"/>
      <c r="IQ268"/>
      <c r="IR268"/>
      <c r="IS268"/>
      <c r="IT268"/>
      <c r="IU268"/>
      <c r="IV268"/>
      <c r="IW268"/>
      <c r="IX268"/>
      <c r="IY268"/>
      <c r="IZ268"/>
      <c r="JA268"/>
      <c r="JB268"/>
      <c r="JC268"/>
      <c r="JD268"/>
      <c r="JE268"/>
      <c r="JF268"/>
      <c r="JG268"/>
      <c r="JH268"/>
      <c r="JI268"/>
      <c r="JJ268"/>
      <c r="JK268"/>
      <c r="JL268"/>
      <c r="JM268"/>
      <c r="JN268"/>
      <c r="JO268"/>
      <c r="JP268"/>
      <c r="JQ268"/>
      <c r="JR268"/>
      <c r="JS268"/>
      <c r="JT268"/>
      <c r="JU268"/>
      <c r="JV268"/>
      <c r="JW268"/>
      <c r="JX268"/>
      <c r="JY268"/>
      <c r="JZ268"/>
      <c r="KA268"/>
      <c r="KB268"/>
      <c r="KC268"/>
      <c r="KD268"/>
      <c r="KE268"/>
      <c r="KF268"/>
      <c r="KG268"/>
      <c r="KH268"/>
      <c r="KI268"/>
      <c r="KJ268"/>
      <c r="KK268"/>
      <c r="KL268"/>
      <c r="KM268"/>
      <c r="KN268"/>
      <c r="KO268"/>
      <c r="KP268"/>
      <c r="KQ268"/>
      <c r="KR268"/>
      <c r="KS268"/>
    </row>
    <row r="269" spans="2:305" hidden="1" x14ac:dyDescent="0.25">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c r="FC269"/>
      <c r="FD269"/>
      <c r="FE269"/>
      <c r="FF269"/>
      <c r="FG269"/>
      <c r="FH269"/>
      <c r="FI269"/>
      <c r="FJ269"/>
      <c r="FK269"/>
      <c r="FL269"/>
      <c r="FM269"/>
      <c r="FN269"/>
      <c r="FO269"/>
      <c r="FP269"/>
      <c r="FQ269"/>
      <c r="FR269"/>
      <c r="FS269"/>
      <c r="FT269"/>
      <c r="FU269"/>
      <c r="FV269"/>
      <c r="FW269"/>
      <c r="FX269"/>
      <c r="FY269"/>
      <c r="FZ269"/>
      <c r="GA269"/>
      <c r="GB269"/>
      <c r="GC269"/>
      <c r="GD269"/>
      <c r="GE269"/>
      <c r="GF269"/>
      <c r="GG269"/>
      <c r="GH269"/>
      <c r="GI269"/>
      <c r="GJ269"/>
      <c r="GK269"/>
      <c r="GL269"/>
      <c r="GM269"/>
      <c r="GN269"/>
      <c r="GO269"/>
      <c r="GP269"/>
      <c r="GQ269"/>
      <c r="GR269"/>
      <c r="GS269"/>
      <c r="GT269"/>
      <c r="GU269"/>
      <c r="GV269"/>
      <c r="GW269"/>
      <c r="GX269"/>
      <c r="GY269"/>
      <c r="GZ269"/>
      <c r="HA269"/>
      <c r="HB269"/>
      <c r="HC269"/>
      <c r="HD269"/>
      <c r="HE269"/>
      <c r="HF269"/>
      <c r="HG269"/>
      <c r="HH269"/>
      <c r="HI269"/>
      <c r="HJ269"/>
      <c r="HK269"/>
      <c r="HL269"/>
      <c r="HM269"/>
      <c r="HN269"/>
      <c r="HO269"/>
      <c r="HP269"/>
      <c r="HQ269"/>
      <c r="HR269"/>
      <c r="HS269"/>
      <c r="HT269"/>
      <c r="HU269"/>
      <c r="HV269"/>
      <c r="HW269"/>
      <c r="HX269"/>
      <c r="HY269"/>
      <c r="HZ269"/>
      <c r="IA269"/>
      <c r="IB269"/>
      <c r="IC269"/>
      <c r="ID269"/>
      <c r="IE269"/>
      <c r="IF269"/>
      <c r="IG269"/>
      <c r="IH269"/>
      <c r="II269"/>
      <c r="IJ269"/>
      <c r="IK269"/>
      <c r="IL269"/>
      <c r="IM269"/>
      <c r="IN269"/>
      <c r="IO269"/>
      <c r="IP269"/>
      <c r="IQ269"/>
      <c r="IR269"/>
      <c r="IS269"/>
      <c r="IT269"/>
      <c r="IU269"/>
      <c r="IV269"/>
      <c r="IW269"/>
      <c r="IX269"/>
      <c r="IY269"/>
      <c r="IZ269"/>
      <c r="JA269"/>
      <c r="JB269"/>
      <c r="JC269"/>
      <c r="JD269"/>
      <c r="JE269"/>
      <c r="JF269"/>
      <c r="JG269"/>
      <c r="JH269"/>
      <c r="JI269"/>
      <c r="JJ269"/>
      <c r="JK269"/>
      <c r="JL269"/>
      <c r="JM269"/>
      <c r="JN269"/>
      <c r="JO269"/>
      <c r="JP269"/>
      <c r="JQ269"/>
      <c r="JR269"/>
      <c r="JS269"/>
      <c r="JT269"/>
      <c r="JU269"/>
      <c r="JV269"/>
      <c r="JW269"/>
      <c r="JX269"/>
      <c r="JY269"/>
      <c r="JZ269"/>
      <c r="KA269"/>
      <c r="KB269"/>
      <c r="KC269"/>
      <c r="KD269"/>
      <c r="KE269"/>
      <c r="KF269"/>
      <c r="KG269"/>
      <c r="KH269"/>
      <c r="KI269"/>
      <c r="KJ269"/>
      <c r="KK269"/>
      <c r="KL269"/>
      <c r="KM269"/>
      <c r="KN269"/>
      <c r="KO269"/>
      <c r="KP269"/>
      <c r="KQ269"/>
      <c r="KR269"/>
      <c r="KS269"/>
    </row>
    <row r="270" spans="2:305" hidden="1" x14ac:dyDescent="0.25">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c r="FC270"/>
      <c r="FD270"/>
      <c r="FE270"/>
      <c r="FF270"/>
      <c r="FG270"/>
      <c r="FH270"/>
      <c r="FI270"/>
      <c r="FJ270"/>
      <c r="FK270"/>
      <c r="FL270"/>
      <c r="FM270"/>
      <c r="FN270"/>
      <c r="FO270"/>
      <c r="FP270"/>
      <c r="FQ270"/>
      <c r="FR270"/>
      <c r="FS270"/>
      <c r="FT270"/>
      <c r="FU270"/>
      <c r="FV270"/>
      <c r="FW270"/>
      <c r="FX270"/>
      <c r="FY270"/>
      <c r="FZ270"/>
      <c r="GA270"/>
      <c r="GB270"/>
      <c r="GC270"/>
      <c r="GD270"/>
      <c r="GE270"/>
      <c r="GF270"/>
      <c r="GG270"/>
      <c r="GH270"/>
      <c r="GI270"/>
      <c r="GJ270"/>
      <c r="GK270"/>
      <c r="GL270"/>
      <c r="GM270"/>
      <c r="GN270"/>
      <c r="GO270"/>
      <c r="GP270"/>
      <c r="GQ270"/>
      <c r="GR270"/>
      <c r="GS270"/>
      <c r="GT270"/>
      <c r="GU270"/>
      <c r="GV270"/>
      <c r="GW270"/>
      <c r="GX270"/>
      <c r="GY270"/>
      <c r="GZ270"/>
      <c r="HA270"/>
      <c r="HB270"/>
      <c r="HC270"/>
      <c r="HD270"/>
      <c r="HE270"/>
      <c r="HF270"/>
      <c r="HG270"/>
      <c r="HH270"/>
      <c r="HI270"/>
      <c r="HJ270"/>
      <c r="HK270"/>
      <c r="HL270"/>
      <c r="HM270"/>
      <c r="HN270"/>
      <c r="HO270"/>
      <c r="HP270"/>
      <c r="HQ270"/>
      <c r="HR270"/>
      <c r="HS270"/>
      <c r="HT270"/>
      <c r="HU270"/>
      <c r="HV270"/>
      <c r="HW270"/>
      <c r="HX270"/>
      <c r="HY270"/>
      <c r="HZ270"/>
      <c r="IA270"/>
      <c r="IB270"/>
      <c r="IC270"/>
      <c r="ID270"/>
      <c r="IE270"/>
      <c r="IF270"/>
      <c r="IG270"/>
      <c r="IH270"/>
      <c r="II270"/>
      <c r="IJ270"/>
      <c r="IK270"/>
      <c r="IL270"/>
      <c r="IM270"/>
      <c r="IN270"/>
      <c r="IO270"/>
      <c r="IP270"/>
      <c r="IQ270"/>
      <c r="IR270"/>
      <c r="IS270"/>
      <c r="IT270"/>
      <c r="IU270"/>
      <c r="IV270"/>
      <c r="IW270"/>
      <c r="IX270"/>
      <c r="IY270"/>
      <c r="IZ270"/>
      <c r="JA270"/>
      <c r="JB270"/>
      <c r="JC270"/>
      <c r="JD270"/>
      <c r="JE270"/>
      <c r="JF270"/>
      <c r="JG270"/>
      <c r="JH270"/>
      <c r="JI270"/>
      <c r="JJ270"/>
      <c r="JK270"/>
      <c r="JL270"/>
      <c r="JM270"/>
      <c r="JN270"/>
      <c r="JO270"/>
      <c r="JP270"/>
      <c r="JQ270"/>
      <c r="JR270"/>
      <c r="JS270"/>
      <c r="JT270"/>
      <c r="JU270"/>
      <c r="JV270"/>
      <c r="JW270"/>
      <c r="JX270"/>
      <c r="JY270"/>
      <c r="JZ270"/>
      <c r="KA270"/>
      <c r="KB270"/>
      <c r="KC270"/>
      <c r="KD270"/>
      <c r="KE270"/>
      <c r="KF270"/>
      <c r="KG270"/>
      <c r="KH270"/>
      <c r="KI270"/>
      <c r="KJ270"/>
      <c r="KK270"/>
      <c r="KL270"/>
      <c r="KM270"/>
      <c r="KN270"/>
      <c r="KO270"/>
      <c r="KP270"/>
      <c r="KQ270"/>
      <c r="KR270"/>
      <c r="KS270"/>
    </row>
    <row r="271" spans="2:305" hidden="1" x14ac:dyDescent="0.25">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c r="FC271"/>
      <c r="FD271"/>
      <c r="FE271"/>
      <c r="FF271"/>
      <c r="FG271"/>
      <c r="FH271"/>
      <c r="FI271"/>
      <c r="FJ271"/>
      <c r="FK271"/>
      <c r="FL271"/>
      <c r="FM271"/>
      <c r="FN271"/>
      <c r="FO271"/>
      <c r="FP271"/>
      <c r="FQ271"/>
      <c r="FR271"/>
      <c r="FS271"/>
      <c r="FT271"/>
      <c r="FU271"/>
      <c r="FV271"/>
      <c r="FW271"/>
      <c r="FX271"/>
      <c r="FY271"/>
      <c r="FZ271"/>
      <c r="GA271"/>
      <c r="GB271"/>
      <c r="GC271"/>
      <c r="GD271"/>
      <c r="GE271"/>
      <c r="GF271"/>
      <c r="GG271"/>
      <c r="GH271"/>
      <c r="GI271"/>
      <c r="GJ271"/>
      <c r="GK271"/>
      <c r="GL271"/>
      <c r="GM271"/>
      <c r="GN271"/>
      <c r="GO271"/>
      <c r="GP271"/>
      <c r="GQ271"/>
      <c r="GR271"/>
      <c r="GS271"/>
      <c r="GT271"/>
      <c r="GU271"/>
      <c r="GV271"/>
      <c r="GW271"/>
      <c r="GX271"/>
      <c r="GY271"/>
      <c r="GZ271"/>
      <c r="HA271"/>
      <c r="HB271"/>
      <c r="HC271"/>
      <c r="HD271"/>
      <c r="HE271"/>
      <c r="HF271"/>
      <c r="HG271"/>
      <c r="HH271"/>
      <c r="HI271"/>
      <c r="HJ271"/>
      <c r="HK271"/>
      <c r="HL271"/>
      <c r="HM271"/>
      <c r="HN271"/>
      <c r="HO271"/>
      <c r="HP271"/>
      <c r="HQ271"/>
      <c r="HR271"/>
      <c r="HS271"/>
      <c r="HT271"/>
      <c r="HU271"/>
      <c r="HV271"/>
      <c r="HW271"/>
      <c r="HX271"/>
      <c r="HY271"/>
      <c r="HZ271"/>
      <c r="IA271"/>
      <c r="IB271"/>
      <c r="IC271"/>
      <c r="ID271"/>
      <c r="IE271"/>
      <c r="IF271"/>
      <c r="IG271"/>
      <c r="IH271"/>
      <c r="II271"/>
      <c r="IJ271"/>
      <c r="IK271"/>
      <c r="IL271"/>
      <c r="IM271"/>
      <c r="IN271"/>
      <c r="IO271"/>
      <c r="IP271"/>
      <c r="IQ271"/>
      <c r="IR271"/>
      <c r="IS271"/>
      <c r="IT271"/>
      <c r="IU271"/>
      <c r="IV271"/>
      <c r="IW271"/>
      <c r="IX271"/>
      <c r="IY271"/>
      <c r="IZ271"/>
      <c r="JA271"/>
      <c r="JB271"/>
      <c r="JC271"/>
      <c r="JD271"/>
      <c r="JE271"/>
      <c r="JF271"/>
      <c r="JG271"/>
      <c r="JH271"/>
      <c r="JI271"/>
      <c r="JJ271"/>
      <c r="JK271"/>
      <c r="JL271"/>
      <c r="JM271"/>
      <c r="JN271"/>
      <c r="JO271"/>
      <c r="JP271"/>
      <c r="JQ271"/>
      <c r="JR271"/>
      <c r="JS271"/>
      <c r="JT271"/>
      <c r="JU271"/>
      <c r="JV271"/>
      <c r="JW271"/>
      <c r="JX271"/>
      <c r="JY271"/>
      <c r="JZ271"/>
      <c r="KA271"/>
      <c r="KB271"/>
      <c r="KC271"/>
      <c r="KD271"/>
      <c r="KE271"/>
      <c r="KF271"/>
      <c r="KG271"/>
      <c r="KH271"/>
      <c r="KI271"/>
      <c r="KJ271"/>
      <c r="KK271"/>
      <c r="KL271"/>
      <c r="KM271"/>
      <c r="KN271"/>
      <c r="KO271"/>
      <c r="KP271"/>
      <c r="KQ271"/>
      <c r="KR271"/>
      <c r="KS271"/>
    </row>
    <row r="272" spans="2:305" hidden="1" x14ac:dyDescent="0.25">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c r="FC272"/>
      <c r="FD272"/>
      <c r="FE272"/>
      <c r="FF272"/>
      <c r="FG272"/>
      <c r="FH272"/>
      <c r="FI272"/>
      <c r="FJ272"/>
      <c r="FK272"/>
      <c r="FL272"/>
      <c r="FM272"/>
      <c r="FN272"/>
      <c r="FO272"/>
      <c r="FP272"/>
      <c r="FQ272"/>
      <c r="FR272"/>
      <c r="FS272"/>
      <c r="FT272"/>
      <c r="FU272"/>
      <c r="FV272"/>
      <c r="FW272"/>
      <c r="FX272"/>
      <c r="FY272"/>
      <c r="FZ272"/>
      <c r="GA272"/>
      <c r="GB272"/>
      <c r="GC272"/>
      <c r="GD272"/>
      <c r="GE272"/>
      <c r="GF272"/>
      <c r="GG272"/>
      <c r="GH272"/>
      <c r="GI272"/>
      <c r="GJ272"/>
      <c r="GK272"/>
      <c r="GL272"/>
      <c r="GM272"/>
      <c r="GN272"/>
      <c r="GO272"/>
      <c r="GP272"/>
      <c r="GQ272"/>
      <c r="GR272"/>
      <c r="GS272"/>
      <c r="GT272"/>
      <c r="GU272"/>
      <c r="GV272"/>
      <c r="GW272"/>
      <c r="GX272"/>
      <c r="GY272"/>
      <c r="GZ272"/>
      <c r="HA272"/>
      <c r="HB272"/>
      <c r="HC272"/>
      <c r="HD272"/>
      <c r="HE272"/>
      <c r="HF272"/>
      <c r="HG272"/>
      <c r="HH272"/>
      <c r="HI272"/>
      <c r="HJ272"/>
      <c r="HK272"/>
      <c r="HL272"/>
      <c r="HM272"/>
      <c r="HN272"/>
      <c r="HO272"/>
      <c r="HP272"/>
      <c r="HQ272"/>
      <c r="HR272"/>
      <c r="HS272"/>
      <c r="HT272"/>
      <c r="HU272"/>
      <c r="HV272"/>
      <c r="HW272"/>
      <c r="HX272"/>
      <c r="HY272"/>
      <c r="HZ272"/>
      <c r="IA272"/>
      <c r="IB272"/>
      <c r="IC272"/>
      <c r="ID272"/>
      <c r="IE272"/>
      <c r="IF272"/>
      <c r="IG272"/>
      <c r="IH272"/>
      <c r="II272"/>
      <c r="IJ272"/>
      <c r="IK272"/>
      <c r="IL272"/>
      <c r="IM272"/>
      <c r="IN272"/>
      <c r="IO272"/>
      <c r="IP272"/>
      <c r="IQ272"/>
      <c r="IR272"/>
      <c r="IS272"/>
      <c r="IT272"/>
      <c r="IU272"/>
      <c r="IV272"/>
      <c r="IW272"/>
      <c r="IX272"/>
      <c r="IY272"/>
      <c r="IZ272"/>
      <c r="JA272"/>
      <c r="JB272"/>
      <c r="JC272"/>
      <c r="JD272"/>
      <c r="JE272"/>
      <c r="JF272"/>
      <c r="JG272"/>
      <c r="JH272"/>
      <c r="JI272"/>
      <c r="JJ272"/>
      <c r="JK272"/>
      <c r="JL272"/>
      <c r="JM272"/>
      <c r="JN272"/>
      <c r="JO272"/>
      <c r="JP272"/>
      <c r="JQ272"/>
      <c r="JR272"/>
      <c r="JS272"/>
      <c r="JT272"/>
      <c r="JU272"/>
      <c r="JV272"/>
      <c r="JW272"/>
      <c r="JX272"/>
      <c r="JY272"/>
      <c r="JZ272"/>
      <c r="KA272"/>
      <c r="KB272"/>
      <c r="KC272"/>
      <c r="KD272"/>
      <c r="KE272"/>
      <c r="KF272"/>
      <c r="KG272"/>
      <c r="KH272"/>
      <c r="KI272"/>
      <c r="KJ272"/>
      <c r="KK272"/>
      <c r="KL272"/>
      <c r="KM272"/>
      <c r="KN272"/>
      <c r="KO272"/>
      <c r="KP272"/>
      <c r="KQ272"/>
      <c r="KR272"/>
      <c r="KS272"/>
    </row>
    <row r="273" spans="2:305" hidden="1" x14ac:dyDescent="0.25">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c r="FC273"/>
      <c r="FD273"/>
      <c r="FE273"/>
      <c r="FF273"/>
      <c r="FG273"/>
      <c r="FH273"/>
      <c r="FI273"/>
      <c r="FJ273"/>
      <c r="FK273"/>
      <c r="FL273"/>
      <c r="FM273"/>
      <c r="FN273"/>
      <c r="FO273"/>
      <c r="FP273"/>
      <c r="FQ273"/>
      <c r="FR273"/>
      <c r="FS273"/>
      <c r="FT273"/>
      <c r="FU273"/>
      <c r="FV273"/>
      <c r="FW273"/>
      <c r="FX273"/>
      <c r="FY273"/>
      <c r="FZ273"/>
      <c r="GA273"/>
      <c r="GB273"/>
      <c r="GC273"/>
      <c r="GD273"/>
      <c r="GE273"/>
      <c r="GF273"/>
      <c r="GG273"/>
      <c r="GH273"/>
      <c r="GI273"/>
      <c r="GJ273"/>
      <c r="GK273"/>
      <c r="GL273"/>
      <c r="GM273"/>
      <c r="GN273"/>
      <c r="GO273"/>
      <c r="GP273"/>
      <c r="GQ273"/>
      <c r="GR273"/>
      <c r="GS273"/>
      <c r="GT273"/>
      <c r="GU273"/>
      <c r="GV273"/>
      <c r="GW273"/>
      <c r="GX273"/>
      <c r="GY273"/>
      <c r="GZ273"/>
      <c r="HA273"/>
      <c r="HB273"/>
      <c r="HC273"/>
      <c r="HD273"/>
      <c r="HE273"/>
      <c r="HF273"/>
      <c r="HG273"/>
      <c r="HH273"/>
      <c r="HI273"/>
      <c r="HJ273"/>
      <c r="HK273"/>
      <c r="HL273"/>
      <c r="HM273"/>
      <c r="HN273"/>
      <c r="HO273"/>
      <c r="HP273"/>
      <c r="HQ273"/>
      <c r="HR273"/>
      <c r="HS273"/>
      <c r="HT273"/>
      <c r="HU273"/>
      <c r="HV273"/>
      <c r="HW273"/>
      <c r="HX273"/>
      <c r="HY273"/>
      <c r="HZ273"/>
      <c r="IA273"/>
      <c r="IB273"/>
      <c r="IC273"/>
      <c r="ID273"/>
      <c r="IE273"/>
      <c r="IF273"/>
      <c r="IG273"/>
      <c r="IH273"/>
      <c r="II273"/>
      <c r="IJ273"/>
      <c r="IK273"/>
      <c r="IL273"/>
      <c r="IM273"/>
      <c r="IN273"/>
      <c r="IO273"/>
      <c r="IP273"/>
      <c r="IQ273"/>
      <c r="IR273"/>
      <c r="IS273"/>
      <c r="IT273"/>
      <c r="IU273"/>
      <c r="IV273"/>
      <c r="IW273"/>
      <c r="IX273"/>
      <c r="IY273"/>
      <c r="IZ273"/>
      <c r="JA273"/>
      <c r="JB273"/>
      <c r="JC273"/>
      <c r="JD273"/>
      <c r="JE273"/>
      <c r="JF273"/>
      <c r="JG273"/>
      <c r="JH273"/>
      <c r="JI273"/>
      <c r="JJ273"/>
      <c r="JK273"/>
      <c r="JL273"/>
      <c r="JM273"/>
      <c r="JN273"/>
      <c r="JO273"/>
      <c r="JP273"/>
      <c r="JQ273"/>
      <c r="JR273"/>
      <c r="JS273"/>
      <c r="JT273"/>
      <c r="JU273"/>
      <c r="JV273"/>
      <c r="JW273"/>
      <c r="JX273"/>
      <c r="JY273"/>
      <c r="JZ273"/>
      <c r="KA273"/>
      <c r="KB273"/>
      <c r="KC273"/>
      <c r="KD273"/>
      <c r="KE273"/>
      <c r="KF273"/>
      <c r="KG273"/>
      <c r="KH273"/>
      <c r="KI273"/>
      <c r="KJ273"/>
      <c r="KK273"/>
      <c r="KL273"/>
      <c r="KM273"/>
      <c r="KN273"/>
      <c r="KO273"/>
      <c r="KP273"/>
      <c r="KQ273"/>
      <c r="KR273"/>
      <c r="KS273"/>
    </row>
    <row r="274" spans="2:305" hidden="1" x14ac:dyDescent="0.25">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c r="FC274"/>
      <c r="FD274"/>
      <c r="FE274"/>
      <c r="FF274"/>
      <c r="FG274"/>
      <c r="FH274"/>
      <c r="FI274"/>
      <c r="FJ274"/>
      <c r="FK274"/>
      <c r="FL274"/>
      <c r="FM274"/>
      <c r="FN274"/>
      <c r="FO274"/>
      <c r="FP274"/>
      <c r="FQ274"/>
      <c r="FR274"/>
      <c r="FS274"/>
      <c r="FT274"/>
      <c r="FU274"/>
      <c r="FV274"/>
      <c r="FW274"/>
      <c r="FX274"/>
      <c r="FY274"/>
      <c r="FZ274"/>
      <c r="GA274"/>
      <c r="GB274"/>
      <c r="GC274"/>
      <c r="GD274"/>
      <c r="GE274"/>
      <c r="GF274"/>
      <c r="GG274"/>
      <c r="GH274"/>
      <c r="GI274"/>
      <c r="GJ274"/>
      <c r="GK274"/>
      <c r="GL274"/>
      <c r="GM274"/>
      <c r="GN274"/>
      <c r="GO274"/>
      <c r="GP274"/>
      <c r="GQ274"/>
      <c r="GR274"/>
      <c r="GS274"/>
      <c r="GT274"/>
      <c r="GU274"/>
      <c r="GV274"/>
      <c r="GW274"/>
      <c r="GX274"/>
      <c r="GY274"/>
      <c r="GZ274"/>
      <c r="HA274"/>
      <c r="HB274"/>
      <c r="HC274"/>
      <c r="HD274"/>
      <c r="HE274"/>
      <c r="HF274"/>
      <c r="HG274"/>
      <c r="HH274"/>
      <c r="HI274"/>
      <c r="HJ274"/>
      <c r="HK274"/>
      <c r="HL274"/>
      <c r="HM274"/>
      <c r="HN274"/>
      <c r="HO274"/>
      <c r="HP274"/>
      <c r="HQ274"/>
      <c r="HR274"/>
      <c r="HS274"/>
      <c r="HT274"/>
      <c r="HU274"/>
      <c r="HV274"/>
      <c r="HW274"/>
      <c r="HX274"/>
      <c r="HY274"/>
      <c r="HZ274"/>
      <c r="IA274"/>
      <c r="IB274"/>
      <c r="IC274"/>
      <c r="ID274"/>
      <c r="IE274"/>
      <c r="IF274"/>
      <c r="IG274"/>
      <c r="IH274"/>
      <c r="II274"/>
      <c r="IJ274"/>
      <c r="IK274"/>
      <c r="IL274"/>
      <c r="IM274"/>
      <c r="IN274"/>
      <c r="IO274"/>
      <c r="IP274"/>
      <c r="IQ274"/>
      <c r="IR274"/>
      <c r="IS274"/>
      <c r="IT274"/>
      <c r="IU274"/>
      <c r="IV274"/>
      <c r="IW274"/>
      <c r="IX274"/>
      <c r="IY274"/>
      <c r="IZ274"/>
      <c r="JA274"/>
      <c r="JB274"/>
      <c r="JC274"/>
      <c r="JD274"/>
      <c r="JE274"/>
      <c r="JF274"/>
      <c r="JG274"/>
      <c r="JH274"/>
      <c r="JI274"/>
      <c r="JJ274"/>
      <c r="JK274"/>
      <c r="JL274"/>
      <c r="JM274"/>
      <c r="JN274"/>
      <c r="JO274"/>
      <c r="JP274"/>
      <c r="JQ274"/>
      <c r="JR274"/>
      <c r="JS274"/>
      <c r="JT274"/>
      <c r="JU274"/>
      <c r="JV274"/>
      <c r="JW274"/>
      <c r="JX274"/>
      <c r="JY274"/>
      <c r="JZ274"/>
      <c r="KA274"/>
      <c r="KB274"/>
      <c r="KC274"/>
      <c r="KD274"/>
      <c r="KE274"/>
      <c r="KF274"/>
      <c r="KG274"/>
      <c r="KH274"/>
      <c r="KI274"/>
      <c r="KJ274"/>
      <c r="KK274"/>
      <c r="KL274"/>
      <c r="KM274"/>
      <c r="KN274"/>
      <c r="KO274"/>
      <c r="KP274"/>
      <c r="KQ274"/>
      <c r="KR274"/>
      <c r="KS274"/>
    </row>
    <row r="275" spans="2:305" hidden="1" x14ac:dyDescent="0.2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c r="FC275"/>
      <c r="FD275"/>
      <c r="FE275"/>
      <c r="FF275"/>
      <c r="FG275"/>
      <c r="FH275"/>
      <c r="FI275"/>
      <c r="FJ275"/>
      <c r="FK275"/>
      <c r="FL275"/>
      <c r="FM275"/>
      <c r="FN275"/>
      <c r="FO275"/>
      <c r="FP275"/>
      <c r="FQ275"/>
      <c r="FR275"/>
      <c r="FS275"/>
      <c r="FT275"/>
      <c r="FU275"/>
      <c r="FV275"/>
      <c r="FW275"/>
      <c r="FX275"/>
      <c r="FY275"/>
      <c r="FZ275"/>
      <c r="GA275"/>
      <c r="GB275"/>
      <c r="GC275"/>
      <c r="GD275"/>
      <c r="GE275"/>
      <c r="GF275"/>
      <c r="GG275"/>
      <c r="GH275"/>
      <c r="GI275"/>
      <c r="GJ275"/>
      <c r="GK275"/>
      <c r="GL275"/>
      <c r="GM275"/>
      <c r="GN275"/>
      <c r="GO275"/>
      <c r="GP275"/>
      <c r="GQ275"/>
      <c r="GR275"/>
      <c r="GS275"/>
      <c r="GT275"/>
      <c r="GU275"/>
      <c r="GV275"/>
      <c r="GW275"/>
      <c r="GX275"/>
      <c r="GY275"/>
      <c r="GZ275"/>
      <c r="HA275"/>
      <c r="HB275"/>
      <c r="HC275"/>
      <c r="HD275"/>
      <c r="HE275"/>
      <c r="HF275"/>
      <c r="HG275"/>
      <c r="HH275"/>
      <c r="HI275"/>
      <c r="HJ275"/>
      <c r="HK275"/>
      <c r="HL275"/>
      <c r="HM275"/>
      <c r="HN275"/>
      <c r="HO275"/>
      <c r="HP275"/>
      <c r="HQ275"/>
      <c r="HR275"/>
      <c r="HS275"/>
      <c r="HT275"/>
      <c r="HU275"/>
      <c r="HV275"/>
      <c r="HW275"/>
      <c r="HX275"/>
      <c r="HY275"/>
      <c r="HZ275"/>
      <c r="IA275"/>
      <c r="IB275"/>
      <c r="IC275"/>
      <c r="ID275"/>
      <c r="IE275"/>
      <c r="IF275"/>
      <c r="IG275"/>
      <c r="IH275"/>
      <c r="II275"/>
      <c r="IJ275"/>
      <c r="IK275"/>
      <c r="IL275"/>
      <c r="IM275"/>
      <c r="IN275"/>
      <c r="IO275"/>
      <c r="IP275"/>
      <c r="IQ275"/>
      <c r="IR275"/>
      <c r="IS275"/>
      <c r="IT275"/>
      <c r="IU275"/>
      <c r="IV275"/>
      <c r="IW275"/>
      <c r="IX275"/>
      <c r="IY275"/>
      <c r="IZ275"/>
      <c r="JA275"/>
      <c r="JB275"/>
      <c r="JC275"/>
      <c r="JD275"/>
      <c r="JE275"/>
      <c r="JF275"/>
      <c r="JG275"/>
      <c r="JH275"/>
      <c r="JI275"/>
      <c r="JJ275"/>
      <c r="JK275"/>
      <c r="JL275"/>
      <c r="JM275"/>
      <c r="JN275"/>
      <c r="JO275"/>
      <c r="JP275"/>
      <c r="JQ275"/>
      <c r="JR275"/>
      <c r="JS275"/>
      <c r="JT275"/>
      <c r="JU275"/>
      <c r="JV275"/>
      <c r="JW275"/>
      <c r="JX275"/>
      <c r="JY275"/>
      <c r="JZ275"/>
      <c r="KA275"/>
      <c r="KB275"/>
      <c r="KC275"/>
      <c r="KD275"/>
      <c r="KE275"/>
      <c r="KF275"/>
      <c r="KG275"/>
      <c r="KH275"/>
      <c r="KI275"/>
      <c r="KJ275"/>
      <c r="KK275"/>
      <c r="KL275"/>
      <c r="KM275"/>
      <c r="KN275"/>
      <c r="KO275"/>
      <c r="KP275"/>
      <c r="KQ275"/>
      <c r="KR275"/>
      <c r="KS275"/>
    </row>
    <row r="276" spans="2:305" hidden="1" x14ac:dyDescent="0.25">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c r="FC276"/>
      <c r="FD276"/>
      <c r="FE276"/>
      <c r="FF276"/>
      <c r="FG276"/>
      <c r="FH276"/>
      <c r="FI276"/>
      <c r="FJ276"/>
      <c r="FK276"/>
      <c r="FL276"/>
      <c r="FM276"/>
      <c r="FN276"/>
      <c r="FO276"/>
      <c r="FP276"/>
      <c r="FQ276"/>
      <c r="FR276"/>
      <c r="FS276"/>
      <c r="FT276"/>
      <c r="FU276"/>
      <c r="FV276"/>
      <c r="FW276"/>
      <c r="FX276"/>
      <c r="FY276"/>
      <c r="FZ276"/>
      <c r="GA276"/>
      <c r="GB276"/>
      <c r="GC276"/>
      <c r="GD276"/>
      <c r="GE276"/>
      <c r="GF276"/>
      <c r="GG276"/>
      <c r="GH276"/>
      <c r="GI276"/>
      <c r="GJ276"/>
      <c r="GK276"/>
      <c r="GL276"/>
      <c r="GM276"/>
      <c r="GN276"/>
      <c r="GO276"/>
      <c r="GP276"/>
      <c r="GQ276"/>
      <c r="GR276"/>
      <c r="GS276"/>
      <c r="GT276"/>
      <c r="GU276"/>
      <c r="GV276"/>
      <c r="GW276"/>
      <c r="GX276"/>
      <c r="GY276"/>
      <c r="GZ276"/>
      <c r="HA276"/>
      <c r="HB276"/>
      <c r="HC276"/>
      <c r="HD276"/>
      <c r="HE276"/>
      <c r="HF276"/>
      <c r="HG276"/>
      <c r="HH276"/>
      <c r="HI276"/>
      <c r="HJ276"/>
      <c r="HK276"/>
      <c r="HL276"/>
      <c r="HM276"/>
      <c r="HN276"/>
      <c r="HO276"/>
      <c r="HP276"/>
      <c r="HQ276"/>
      <c r="HR276"/>
      <c r="HS276"/>
      <c r="HT276"/>
      <c r="HU276"/>
      <c r="HV276"/>
      <c r="HW276"/>
      <c r="HX276"/>
      <c r="HY276"/>
      <c r="HZ276"/>
      <c r="IA276"/>
      <c r="IB276"/>
      <c r="IC276"/>
      <c r="ID276"/>
      <c r="IE276"/>
      <c r="IF276"/>
      <c r="IG276"/>
      <c r="IH276"/>
      <c r="II276"/>
      <c r="IJ276"/>
      <c r="IK276"/>
      <c r="IL276"/>
      <c r="IM276"/>
      <c r="IN276"/>
      <c r="IO276"/>
      <c r="IP276"/>
      <c r="IQ276"/>
      <c r="IR276"/>
      <c r="IS276"/>
      <c r="IT276"/>
      <c r="IU276"/>
      <c r="IV276"/>
      <c r="IW276"/>
      <c r="IX276"/>
      <c r="IY276"/>
      <c r="IZ276"/>
      <c r="JA276"/>
      <c r="JB276"/>
      <c r="JC276"/>
      <c r="JD276"/>
      <c r="JE276"/>
      <c r="JF276"/>
      <c r="JG276"/>
      <c r="JH276"/>
      <c r="JI276"/>
      <c r="JJ276"/>
      <c r="JK276"/>
      <c r="JL276"/>
      <c r="JM276"/>
      <c r="JN276"/>
      <c r="JO276"/>
      <c r="JP276"/>
      <c r="JQ276"/>
      <c r="JR276"/>
      <c r="JS276"/>
      <c r="JT276"/>
      <c r="JU276"/>
      <c r="JV276"/>
      <c r="JW276"/>
      <c r="JX276"/>
      <c r="JY276"/>
      <c r="JZ276"/>
      <c r="KA276"/>
      <c r="KB276"/>
      <c r="KC276"/>
      <c r="KD276"/>
      <c r="KE276"/>
      <c r="KF276"/>
      <c r="KG276"/>
      <c r="KH276"/>
      <c r="KI276"/>
      <c r="KJ276"/>
      <c r="KK276"/>
      <c r="KL276"/>
      <c r="KM276"/>
      <c r="KN276"/>
      <c r="KO276"/>
      <c r="KP276"/>
      <c r="KQ276"/>
      <c r="KR276"/>
      <c r="KS276"/>
    </row>
    <row r="277" spans="2:305" hidden="1" x14ac:dyDescent="0.25">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c r="FC277"/>
      <c r="FD277"/>
      <c r="FE277"/>
      <c r="FF277"/>
      <c r="FG277"/>
      <c r="FH277"/>
      <c r="FI277"/>
      <c r="FJ277"/>
      <c r="FK277"/>
      <c r="FL277"/>
      <c r="FM277"/>
      <c r="FN277"/>
      <c r="FO277"/>
      <c r="FP277"/>
      <c r="FQ277"/>
      <c r="FR277"/>
      <c r="FS277"/>
      <c r="FT277"/>
      <c r="FU277"/>
      <c r="FV277"/>
      <c r="FW277"/>
      <c r="FX277"/>
      <c r="FY277"/>
      <c r="FZ277"/>
      <c r="GA277"/>
      <c r="GB277"/>
      <c r="GC277"/>
      <c r="GD277"/>
      <c r="GE277"/>
      <c r="GF277"/>
      <c r="GG277"/>
      <c r="GH277"/>
      <c r="GI277"/>
      <c r="GJ277"/>
      <c r="GK277"/>
      <c r="GL277"/>
      <c r="GM277"/>
      <c r="GN277"/>
      <c r="GO277"/>
      <c r="GP277"/>
      <c r="GQ277"/>
      <c r="GR277"/>
      <c r="GS277"/>
      <c r="GT277"/>
      <c r="GU277"/>
      <c r="GV277"/>
      <c r="GW277"/>
      <c r="GX277"/>
      <c r="GY277"/>
      <c r="GZ277"/>
      <c r="HA277"/>
      <c r="HB277"/>
      <c r="HC277"/>
      <c r="HD277"/>
      <c r="HE277"/>
      <c r="HF277"/>
      <c r="HG277"/>
      <c r="HH277"/>
      <c r="HI277"/>
      <c r="HJ277"/>
      <c r="HK277"/>
      <c r="HL277"/>
      <c r="HM277"/>
      <c r="HN277"/>
      <c r="HO277"/>
      <c r="HP277"/>
      <c r="HQ277"/>
      <c r="HR277"/>
      <c r="HS277"/>
      <c r="HT277"/>
      <c r="HU277"/>
      <c r="HV277"/>
      <c r="HW277"/>
      <c r="HX277"/>
      <c r="HY277"/>
      <c r="HZ277"/>
      <c r="IA277"/>
      <c r="IB277"/>
      <c r="IC277"/>
      <c r="ID277"/>
      <c r="IE277"/>
      <c r="IF277"/>
      <c r="IG277"/>
      <c r="IH277"/>
      <c r="II277"/>
      <c r="IJ277"/>
      <c r="IK277"/>
      <c r="IL277"/>
      <c r="IM277"/>
      <c r="IN277"/>
      <c r="IO277"/>
      <c r="IP277"/>
      <c r="IQ277"/>
      <c r="IR277"/>
      <c r="IS277"/>
      <c r="IT277"/>
      <c r="IU277"/>
      <c r="IV277"/>
      <c r="IW277"/>
      <c r="IX277"/>
      <c r="IY277"/>
      <c r="IZ277"/>
      <c r="JA277"/>
      <c r="JB277"/>
      <c r="JC277"/>
      <c r="JD277"/>
      <c r="JE277"/>
      <c r="JF277"/>
      <c r="JG277"/>
      <c r="JH277"/>
      <c r="JI277"/>
      <c r="JJ277"/>
      <c r="JK277"/>
      <c r="JL277"/>
      <c r="JM277"/>
      <c r="JN277"/>
      <c r="JO277"/>
      <c r="JP277"/>
      <c r="JQ277"/>
      <c r="JR277"/>
      <c r="JS277"/>
      <c r="JT277"/>
      <c r="JU277"/>
      <c r="JV277"/>
      <c r="JW277"/>
      <c r="JX277"/>
      <c r="JY277"/>
      <c r="JZ277"/>
      <c r="KA277"/>
      <c r="KB277"/>
      <c r="KC277"/>
      <c r="KD277"/>
      <c r="KE277"/>
      <c r="KF277"/>
      <c r="KG277"/>
      <c r="KH277"/>
      <c r="KI277"/>
      <c r="KJ277"/>
      <c r="KK277"/>
      <c r="KL277"/>
      <c r="KM277"/>
      <c r="KN277"/>
      <c r="KO277"/>
      <c r="KP277"/>
      <c r="KQ277"/>
      <c r="KR277"/>
      <c r="KS277"/>
    </row>
    <row r="278" spans="2:305" hidden="1" x14ac:dyDescent="0.25">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c r="FC278"/>
      <c r="FD278"/>
      <c r="FE278"/>
      <c r="FF278"/>
      <c r="FG278"/>
      <c r="FH278"/>
      <c r="FI278"/>
      <c r="FJ278"/>
      <c r="FK278"/>
      <c r="FL278"/>
      <c r="FM278"/>
      <c r="FN278"/>
      <c r="FO278"/>
      <c r="FP278"/>
      <c r="FQ278"/>
      <c r="FR278"/>
      <c r="FS278"/>
      <c r="FT278"/>
      <c r="FU278"/>
      <c r="FV278"/>
      <c r="FW278"/>
      <c r="FX278"/>
      <c r="FY278"/>
      <c r="FZ278"/>
      <c r="GA278"/>
      <c r="GB278"/>
      <c r="GC278"/>
      <c r="GD278"/>
      <c r="GE278"/>
      <c r="GF278"/>
      <c r="GG278"/>
      <c r="GH278"/>
      <c r="GI278"/>
      <c r="GJ278"/>
      <c r="GK278"/>
      <c r="GL278"/>
      <c r="GM278"/>
      <c r="GN278"/>
      <c r="GO278"/>
      <c r="GP278"/>
      <c r="GQ278"/>
      <c r="GR278"/>
      <c r="GS278"/>
      <c r="GT278"/>
      <c r="GU278"/>
      <c r="GV278"/>
      <c r="GW278"/>
      <c r="GX278"/>
      <c r="GY278"/>
      <c r="GZ278"/>
      <c r="HA278"/>
      <c r="HB278"/>
      <c r="HC278"/>
      <c r="HD278"/>
      <c r="HE278"/>
      <c r="HF278"/>
      <c r="HG278"/>
      <c r="HH278"/>
      <c r="HI278"/>
      <c r="HJ278"/>
      <c r="HK278"/>
      <c r="HL278"/>
      <c r="HM278"/>
      <c r="HN278"/>
      <c r="HO278"/>
      <c r="HP278"/>
      <c r="HQ278"/>
      <c r="HR278"/>
      <c r="HS278"/>
      <c r="HT278"/>
      <c r="HU278"/>
      <c r="HV278"/>
      <c r="HW278"/>
      <c r="HX278"/>
      <c r="HY278"/>
      <c r="HZ278"/>
      <c r="IA278"/>
      <c r="IB278"/>
      <c r="IC278"/>
      <c r="ID278"/>
      <c r="IE278"/>
      <c r="IF278"/>
      <c r="IG278"/>
      <c r="IH278"/>
      <c r="II278"/>
      <c r="IJ278"/>
      <c r="IK278"/>
      <c r="IL278"/>
      <c r="IM278"/>
      <c r="IN278"/>
      <c r="IO278"/>
      <c r="IP278"/>
      <c r="IQ278"/>
      <c r="IR278"/>
      <c r="IS278"/>
      <c r="IT278"/>
      <c r="IU278"/>
      <c r="IV278"/>
      <c r="IW278"/>
      <c r="IX278"/>
      <c r="IY278"/>
      <c r="IZ278"/>
      <c r="JA278"/>
      <c r="JB278"/>
      <c r="JC278"/>
      <c r="JD278"/>
      <c r="JE278"/>
      <c r="JF278"/>
      <c r="JG278"/>
      <c r="JH278"/>
      <c r="JI278"/>
      <c r="JJ278"/>
      <c r="JK278"/>
      <c r="JL278"/>
      <c r="JM278"/>
      <c r="JN278"/>
      <c r="JO278"/>
      <c r="JP278"/>
      <c r="JQ278"/>
      <c r="JR278"/>
      <c r="JS278"/>
      <c r="JT278"/>
      <c r="JU278"/>
      <c r="JV278"/>
      <c r="JW278"/>
      <c r="JX278"/>
      <c r="JY278"/>
      <c r="JZ278"/>
      <c r="KA278"/>
      <c r="KB278"/>
      <c r="KC278"/>
      <c r="KD278"/>
      <c r="KE278"/>
      <c r="KF278"/>
      <c r="KG278"/>
      <c r="KH278"/>
      <c r="KI278"/>
      <c r="KJ278"/>
      <c r="KK278"/>
      <c r="KL278"/>
      <c r="KM278"/>
      <c r="KN278"/>
      <c r="KO278"/>
      <c r="KP278"/>
      <c r="KQ278"/>
      <c r="KR278"/>
      <c r="KS278"/>
    </row>
    <row r="279" spans="2:305" hidden="1" x14ac:dyDescent="0.25">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c r="FC279"/>
      <c r="FD279"/>
      <c r="FE279"/>
      <c r="FF279"/>
      <c r="FG279"/>
      <c r="FH279"/>
      <c r="FI279"/>
      <c r="FJ279"/>
      <c r="FK279"/>
      <c r="FL279"/>
      <c r="FM279"/>
      <c r="FN279"/>
      <c r="FO279"/>
      <c r="FP279"/>
      <c r="FQ279"/>
      <c r="FR279"/>
      <c r="FS279"/>
      <c r="FT279"/>
      <c r="FU279"/>
      <c r="FV279"/>
      <c r="FW279"/>
      <c r="FX279"/>
      <c r="FY279"/>
      <c r="FZ279"/>
      <c r="GA279"/>
      <c r="GB279"/>
      <c r="GC279"/>
      <c r="GD279"/>
      <c r="GE279"/>
      <c r="GF279"/>
      <c r="GG279"/>
      <c r="GH279"/>
      <c r="GI279"/>
      <c r="GJ279"/>
      <c r="GK279"/>
      <c r="GL279"/>
      <c r="GM279"/>
      <c r="GN279"/>
      <c r="GO279"/>
      <c r="GP279"/>
      <c r="GQ279"/>
      <c r="GR279"/>
      <c r="GS279"/>
      <c r="GT279"/>
      <c r="GU279"/>
      <c r="GV279"/>
      <c r="GW279"/>
      <c r="GX279"/>
      <c r="GY279"/>
      <c r="GZ279"/>
      <c r="HA279"/>
      <c r="HB279"/>
      <c r="HC279"/>
      <c r="HD279"/>
      <c r="HE279"/>
      <c r="HF279"/>
      <c r="HG279"/>
      <c r="HH279"/>
      <c r="HI279"/>
      <c r="HJ279"/>
      <c r="HK279"/>
      <c r="HL279"/>
      <c r="HM279"/>
      <c r="HN279"/>
      <c r="HO279"/>
      <c r="HP279"/>
      <c r="HQ279"/>
      <c r="HR279"/>
      <c r="HS279"/>
      <c r="HT279"/>
      <c r="HU279"/>
      <c r="HV279"/>
      <c r="HW279"/>
      <c r="HX279"/>
      <c r="HY279"/>
      <c r="HZ279"/>
      <c r="IA279"/>
      <c r="IB279"/>
      <c r="IC279"/>
      <c r="ID279"/>
      <c r="IE279"/>
      <c r="IF279"/>
      <c r="IG279"/>
      <c r="IH279"/>
      <c r="II279"/>
      <c r="IJ279"/>
      <c r="IK279"/>
      <c r="IL279"/>
      <c r="IM279"/>
      <c r="IN279"/>
      <c r="IO279"/>
      <c r="IP279"/>
      <c r="IQ279"/>
      <c r="IR279"/>
      <c r="IS279"/>
      <c r="IT279"/>
      <c r="IU279"/>
      <c r="IV279"/>
      <c r="IW279"/>
      <c r="IX279"/>
      <c r="IY279"/>
      <c r="IZ279"/>
      <c r="JA279"/>
      <c r="JB279"/>
      <c r="JC279"/>
      <c r="JD279"/>
      <c r="JE279"/>
      <c r="JF279"/>
      <c r="JG279"/>
      <c r="JH279"/>
      <c r="JI279"/>
      <c r="JJ279"/>
      <c r="JK279"/>
      <c r="JL279"/>
      <c r="JM279"/>
      <c r="JN279"/>
      <c r="JO279"/>
      <c r="JP279"/>
      <c r="JQ279"/>
      <c r="JR279"/>
      <c r="JS279"/>
      <c r="JT279"/>
      <c r="JU279"/>
      <c r="JV279"/>
      <c r="JW279"/>
      <c r="JX279"/>
      <c r="JY279"/>
      <c r="JZ279"/>
      <c r="KA279"/>
      <c r="KB279"/>
      <c r="KC279"/>
      <c r="KD279"/>
      <c r="KE279"/>
      <c r="KF279"/>
      <c r="KG279"/>
      <c r="KH279"/>
      <c r="KI279"/>
      <c r="KJ279"/>
      <c r="KK279"/>
      <c r="KL279"/>
      <c r="KM279"/>
      <c r="KN279"/>
      <c r="KO279"/>
      <c r="KP279"/>
      <c r="KQ279"/>
      <c r="KR279"/>
      <c r="KS279"/>
    </row>
    <row r="280" spans="2:305" hidden="1" x14ac:dyDescent="0.25">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c r="FC280"/>
      <c r="FD280"/>
      <c r="FE280"/>
      <c r="FF280"/>
      <c r="FG280"/>
      <c r="FH280"/>
      <c r="FI280"/>
      <c r="FJ280"/>
      <c r="FK280"/>
      <c r="FL280"/>
      <c r="FM280"/>
      <c r="FN280"/>
      <c r="FO280"/>
      <c r="FP280"/>
      <c r="FQ280"/>
      <c r="FR280"/>
      <c r="FS280"/>
      <c r="FT280"/>
      <c r="FU280"/>
      <c r="FV280"/>
      <c r="FW280"/>
      <c r="FX280"/>
      <c r="FY280"/>
      <c r="FZ280"/>
      <c r="GA280"/>
      <c r="GB280"/>
      <c r="GC280"/>
      <c r="GD280"/>
      <c r="GE280"/>
      <c r="GF280"/>
      <c r="GG280"/>
      <c r="GH280"/>
      <c r="GI280"/>
      <c r="GJ280"/>
      <c r="GK280"/>
      <c r="GL280"/>
      <c r="GM280"/>
      <c r="GN280"/>
      <c r="GO280"/>
      <c r="GP280"/>
      <c r="GQ280"/>
      <c r="GR280"/>
      <c r="GS280"/>
      <c r="GT280"/>
      <c r="GU280"/>
      <c r="GV280"/>
      <c r="GW280"/>
      <c r="GX280"/>
      <c r="GY280"/>
      <c r="GZ280"/>
      <c r="HA280"/>
      <c r="HB280"/>
      <c r="HC280"/>
      <c r="HD280"/>
      <c r="HE280"/>
      <c r="HF280"/>
      <c r="HG280"/>
      <c r="HH280"/>
      <c r="HI280"/>
      <c r="HJ280"/>
      <c r="HK280"/>
      <c r="HL280"/>
      <c r="HM280"/>
      <c r="HN280"/>
      <c r="HO280"/>
      <c r="HP280"/>
      <c r="HQ280"/>
      <c r="HR280"/>
      <c r="HS280"/>
      <c r="HT280"/>
      <c r="HU280"/>
      <c r="HV280"/>
      <c r="HW280"/>
      <c r="HX280"/>
      <c r="HY280"/>
      <c r="HZ280"/>
      <c r="IA280"/>
      <c r="IB280"/>
      <c r="IC280"/>
      <c r="ID280"/>
      <c r="IE280"/>
      <c r="IF280"/>
      <c r="IG280"/>
      <c r="IH280"/>
      <c r="II280"/>
      <c r="IJ280"/>
      <c r="IK280"/>
      <c r="IL280"/>
      <c r="IM280"/>
      <c r="IN280"/>
      <c r="IO280"/>
      <c r="IP280"/>
      <c r="IQ280"/>
      <c r="IR280"/>
      <c r="IS280"/>
      <c r="IT280"/>
      <c r="IU280"/>
      <c r="IV280"/>
      <c r="IW280"/>
      <c r="IX280"/>
      <c r="IY280"/>
      <c r="IZ280"/>
      <c r="JA280"/>
      <c r="JB280"/>
      <c r="JC280"/>
      <c r="JD280"/>
      <c r="JE280"/>
      <c r="JF280"/>
      <c r="JG280"/>
      <c r="JH280"/>
      <c r="JI280"/>
      <c r="JJ280"/>
      <c r="JK280"/>
      <c r="JL280"/>
      <c r="JM280"/>
      <c r="JN280"/>
      <c r="JO280"/>
      <c r="JP280"/>
      <c r="JQ280"/>
      <c r="JR280"/>
      <c r="JS280"/>
      <c r="JT280"/>
      <c r="JU280"/>
      <c r="JV280"/>
      <c r="JW280"/>
      <c r="JX280"/>
      <c r="JY280"/>
      <c r="JZ280"/>
      <c r="KA280"/>
      <c r="KB280"/>
      <c r="KC280"/>
      <c r="KD280"/>
      <c r="KE280"/>
      <c r="KF280"/>
      <c r="KG280"/>
      <c r="KH280"/>
      <c r="KI280"/>
      <c r="KJ280"/>
      <c r="KK280"/>
      <c r="KL280"/>
      <c r="KM280"/>
      <c r="KN280"/>
      <c r="KO280"/>
      <c r="KP280"/>
      <c r="KQ280"/>
      <c r="KR280"/>
      <c r="KS280"/>
    </row>
    <row r="281" spans="2:305" hidden="1" x14ac:dyDescent="0.25">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c r="FC281"/>
      <c r="FD281"/>
      <c r="FE281"/>
      <c r="FF281"/>
      <c r="FG281"/>
      <c r="FH281"/>
      <c r="FI281"/>
      <c r="FJ281"/>
      <c r="FK281"/>
      <c r="FL281"/>
      <c r="FM281"/>
      <c r="FN281"/>
      <c r="FO281"/>
      <c r="FP281"/>
      <c r="FQ281"/>
      <c r="FR281"/>
      <c r="FS281"/>
      <c r="FT281"/>
      <c r="FU281"/>
      <c r="FV281"/>
      <c r="FW281"/>
      <c r="FX281"/>
      <c r="FY281"/>
      <c r="FZ281"/>
      <c r="GA281"/>
      <c r="GB281"/>
      <c r="GC281"/>
      <c r="GD281"/>
      <c r="GE281"/>
      <c r="GF281"/>
      <c r="GG281"/>
      <c r="GH281"/>
      <c r="GI281"/>
      <c r="GJ281"/>
      <c r="GK281"/>
      <c r="GL281"/>
      <c r="GM281"/>
      <c r="GN281"/>
      <c r="GO281"/>
      <c r="GP281"/>
      <c r="GQ281"/>
      <c r="GR281"/>
      <c r="GS281"/>
      <c r="GT281"/>
      <c r="GU281"/>
      <c r="GV281"/>
      <c r="GW281"/>
      <c r="GX281"/>
      <c r="GY281"/>
      <c r="GZ281"/>
      <c r="HA281"/>
      <c r="HB281"/>
      <c r="HC281"/>
      <c r="HD281"/>
      <c r="HE281"/>
      <c r="HF281"/>
      <c r="HG281"/>
      <c r="HH281"/>
      <c r="HI281"/>
      <c r="HJ281"/>
      <c r="HK281"/>
      <c r="HL281"/>
      <c r="HM281"/>
      <c r="HN281"/>
      <c r="HO281"/>
      <c r="HP281"/>
      <c r="HQ281"/>
      <c r="HR281"/>
      <c r="HS281"/>
      <c r="HT281"/>
      <c r="HU281"/>
      <c r="HV281"/>
      <c r="HW281"/>
      <c r="HX281"/>
      <c r="HY281"/>
      <c r="HZ281"/>
      <c r="IA281"/>
      <c r="IB281"/>
      <c r="IC281"/>
      <c r="ID281"/>
      <c r="IE281"/>
      <c r="IF281"/>
      <c r="IG281"/>
      <c r="IH281"/>
      <c r="II281"/>
      <c r="IJ281"/>
      <c r="IK281"/>
      <c r="IL281"/>
      <c r="IM281"/>
      <c r="IN281"/>
      <c r="IO281"/>
      <c r="IP281"/>
      <c r="IQ281"/>
      <c r="IR281"/>
      <c r="IS281"/>
      <c r="IT281"/>
      <c r="IU281"/>
      <c r="IV281"/>
      <c r="IW281"/>
      <c r="IX281"/>
      <c r="IY281"/>
      <c r="IZ281"/>
      <c r="JA281"/>
      <c r="JB281"/>
      <c r="JC281"/>
      <c r="JD281"/>
      <c r="JE281"/>
      <c r="JF281"/>
      <c r="JG281"/>
      <c r="JH281"/>
      <c r="JI281"/>
      <c r="JJ281"/>
      <c r="JK281"/>
      <c r="JL281"/>
      <c r="JM281"/>
      <c r="JN281"/>
      <c r="JO281"/>
      <c r="JP281"/>
      <c r="JQ281"/>
      <c r="JR281"/>
      <c r="JS281"/>
      <c r="JT281"/>
      <c r="JU281"/>
      <c r="JV281"/>
      <c r="JW281"/>
      <c r="JX281"/>
      <c r="JY281"/>
      <c r="JZ281"/>
      <c r="KA281"/>
      <c r="KB281"/>
      <c r="KC281"/>
      <c r="KD281"/>
      <c r="KE281"/>
      <c r="KF281"/>
      <c r="KG281"/>
      <c r="KH281"/>
      <c r="KI281"/>
      <c r="KJ281"/>
      <c r="KK281"/>
      <c r="KL281"/>
      <c r="KM281"/>
      <c r="KN281"/>
      <c r="KO281"/>
      <c r="KP281"/>
      <c r="KQ281"/>
      <c r="KR281"/>
      <c r="KS281"/>
    </row>
    <row r="282" spans="2:305" hidden="1" x14ac:dyDescent="0.25">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c r="FC282"/>
      <c r="FD282"/>
      <c r="FE282"/>
      <c r="FF282"/>
      <c r="FG282"/>
      <c r="FH282"/>
      <c r="FI282"/>
      <c r="FJ282"/>
      <c r="FK282"/>
      <c r="FL282"/>
      <c r="FM282"/>
      <c r="FN282"/>
      <c r="FO282"/>
      <c r="FP282"/>
      <c r="FQ282"/>
      <c r="FR282"/>
      <c r="FS282"/>
      <c r="FT282"/>
      <c r="FU282"/>
      <c r="FV282"/>
      <c r="FW282"/>
      <c r="FX282"/>
      <c r="FY282"/>
      <c r="FZ282"/>
      <c r="GA282"/>
      <c r="GB282"/>
      <c r="GC282"/>
      <c r="GD282"/>
      <c r="GE282"/>
      <c r="GF282"/>
      <c r="GG282"/>
      <c r="GH282"/>
      <c r="GI282"/>
      <c r="GJ282"/>
      <c r="GK282"/>
      <c r="GL282"/>
      <c r="GM282"/>
      <c r="GN282"/>
      <c r="GO282"/>
      <c r="GP282"/>
      <c r="GQ282"/>
      <c r="GR282"/>
      <c r="GS282"/>
      <c r="GT282"/>
      <c r="GU282"/>
      <c r="GV282"/>
      <c r="GW282"/>
      <c r="GX282"/>
      <c r="GY282"/>
      <c r="GZ282"/>
      <c r="HA282"/>
      <c r="HB282"/>
      <c r="HC282"/>
      <c r="HD282"/>
      <c r="HE282"/>
      <c r="HF282"/>
      <c r="HG282"/>
      <c r="HH282"/>
      <c r="HI282"/>
      <c r="HJ282"/>
      <c r="HK282"/>
      <c r="HL282"/>
      <c r="HM282"/>
      <c r="HN282"/>
      <c r="HO282"/>
      <c r="HP282"/>
      <c r="HQ282"/>
      <c r="HR282"/>
      <c r="HS282"/>
      <c r="HT282"/>
      <c r="HU282"/>
      <c r="HV282"/>
      <c r="HW282"/>
      <c r="HX282"/>
      <c r="HY282"/>
      <c r="HZ282"/>
      <c r="IA282"/>
      <c r="IB282"/>
      <c r="IC282"/>
      <c r="ID282"/>
      <c r="IE282"/>
      <c r="IF282"/>
      <c r="IG282"/>
      <c r="IH282"/>
      <c r="II282"/>
      <c r="IJ282"/>
      <c r="IK282"/>
      <c r="IL282"/>
      <c r="IM282"/>
      <c r="IN282"/>
      <c r="IO282"/>
      <c r="IP282"/>
      <c r="IQ282"/>
      <c r="IR282"/>
      <c r="IS282"/>
      <c r="IT282"/>
      <c r="IU282"/>
      <c r="IV282"/>
      <c r="IW282"/>
      <c r="IX282"/>
      <c r="IY282"/>
      <c r="IZ282"/>
      <c r="JA282"/>
      <c r="JB282"/>
      <c r="JC282"/>
      <c r="JD282"/>
      <c r="JE282"/>
      <c r="JF282"/>
      <c r="JG282"/>
      <c r="JH282"/>
      <c r="JI282"/>
      <c r="JJ282"/>
      <c r="JK282"/>
      <c r="JL282"/>
      <c r="JM282"/>
      <c r="JN282"/>
      <c r="JO282"/>
      <c r="JP282"/>
      <c r="JQ282"/>
      <c r="JR282"/>
      <c r="JS282"/>
      <c r="JT282"/>
      <c r="JU282"/>
      <c r="JV282"/>
      <c r="JW282"/>
      <c r="JX282"/>
      <c r="JY282"/>
      <c r="JZ282"/>
      <c r="KA282"/>
      <c r="KB282"/>
      <c r="KC282"/>
      <c r="KD282"/>
      <c r="KE282"/>
      <c r="KF282"/>
      <c r="KG282"/>
      <c r="KH282"/>
      <c r="KI282"/>
      <c r="KJ282"/>
      <c r="KK282"/>
      <c r="KL282"/>
      <c r="KM282"/>
      <c r="KN282"/>
      <c r="KO282"/>
      <c r="KP282"/>
      <c r="KQ282"/>
      <c r="KR282"/>
      <c r="KS282"/>
    </row>
    <row r="283" spans="2:305" hidden="1" x14ac:dyDescent="0.25">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ER283"/>
      <c r="ES283"/>
      <c r="ET283"/>
      <c r="EU283"/>
      <c r="EV283"/>
      <c r="EW283"/>
      <c r="EX283"/>
      <c r="EY283"/>
      <c r="EZ283"/>
      <c r="FA283"/>
      <c r="FB283"/>
      <c r="FC283"/>
      <c r="FD283"/>
      <c r="FE283"/>
      <c r="FF283"/>
      <c r="FG283"/>
      <c r="FH283"/>
      <c r="FI283"/>
      <c r="FJ283"/>
      <c r="FK283"/>
      <c r="FL283"/>
      <c r="FM283"/>
      <c r="FN283"/>
      <c r="FO283"/>
      <c r="FP283"/>
      <c r="FQ283"/>
      <c r="FR283"/>
      <c r="FS283"/>
      <c r="FT283"/>
      <c r="FU283"/>
      <c r="FV283"/>
      <c r="FW283"/>
      <c r="FX283"/>
      <c r="FY283"/>
      <c r="FZ283"/>
      <c r="GA283"/>
      <c r="GB283"/>
      <c r="GC283"/>
      <c r="GD283"/>
      <c r="GE283"/>
      <c r="GF283"/>
      <c r="GG283"/>
      <c r="GH283"/>
      <c r="GI283"/>
      <c r="GJ283"/>
      <c r="GK283"/>
      <c r="GL283"/>
      <c r="GM283"/>
      <c r="GN283"/>
      <c r="GO283"/>
      <c r="GP283"/>
      <c r="GQ283"/>
      <c r="GR283"/>
      <c r="GS283"/>
      <c r="GT283"/>
      <c r="GU283"/>
      <c r="GV283"/>
      <c r="GW283"/>
      <c r="GX283"/>
      <c r="GY283"/>
      <c r="GZ283"/>
      <c r="HA283"/>
      <c r="HB283"/>
      <c r="HC283"/>
      <c r="HD283"/>
      <c r="HE283"/>
      <c r="HF283"/>
      <c r="HG283"/>
      <c r="HH283"/>
      <c r="HI283"/>
      <c r="HJ283"/>
      <c r="HK283"/>
      <c r="HL283"/>
      <c r="HM283"/>
      <c r="HN283"/>
      <c r="HO283"/>
      <c r="HP283"/>
      <c r="HQ283"/>
      <c r="HR283"/>
      <c r="HS283"/>
      <c r="HT283"/>
      <c r="HU283"/>
      <c r="HV283"/>
      <c r="HW283"/>
      <c r="HX283"/>
      <c r="HY283"/>
      <c r="HZ283"/>
      <c r="IA283"/>
      <c r="IB283"/>
      <c r="IC283"/>
      <c r="ID283"/>
      <c r="IE283"/>
      <c r="IF283"/>
      <c r="IG283"/>
      <c r="IH283"/>
      <c r="II283"/>
      <c r="IJ283"/>
      <c r="IK283"/>
      <c r="IL283"/>
      <c r="IM283"/>
      <c r="IN283"/>
      <c r="IO283"/>
      <c r="IP283"/>
      <c r="IQ283"/>
      <c r="IR283"/>
      <c r="IS283"/>
      <c r="IT283"/>
      <c r="IU283"/>
      <c r="IV283"/>
      <c r="IW283"/>
      <c r="IX283"/>
      <c r="IY283"/>
      <c r="IZ283"/>
      <c r="JA283"/>
      <c r="JB283"/>
      <c r="JC283"/>
      <c r="JD283"/>
      <c r="JE283"/>
      <c r="JF283"/>
      <c r="JG283"/>
      <c r="JH283"/>
      <c r="JI283"/>
      <c r="JJ283"/>
      <c r="JK283"/>
      <c r="JL283"/>
      <c r="JM283"/>
      <c r="JN283"/>
      <c r="JO283"/>
      <c r="JP283"/>
      <c r="JQ283"/>
      <c r="JR283"/>
      <c r="JS283"/>
      <c r="JT283"/>
      <c r="JU283"/>
      <c r="JV283"/>
      <c r="JW283"/>
      <c r="JX283"/>
      <c r="JY283"/>
      <c r="JZ283"/>
      <c r="KA283"/>
      <c r="KB283"/>
      <c r="KC283"/>
      <c r="KD283"/>
      <c r="KE283"/>
      <c r="KF283"/>
      <c r="KG283"/>
      <c r="KH283"/>
      <c r="KI283"/>
      <c r="KJ283"/>
      <c r="KK283"/>
      <c r="KL283"/>
      <c r="KM283"/>
      <c r="KN283"/>
      <c r="KO283"/>
      <c r="KP283"/>
      <c r="KQ283"/>
      <c r="KR283"/>
      <c r="KS283"/>
    </row>
    <row r="284" spans="2:305" hidden="1" x14ac:dyDescent="0.25">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ER284"/>
      <c r="ES284"/>
      <c r="ET284"/>
      <c r="EU284"/>
      <c r="EV284"/>
      <c r="EW284"/>
      <c r="EX284"/>
      <c r="EY284"/>
      <c r="EZ284"/>
      <c r="FA284"/>
      <c r="FB284"/>
      <c r="FC284"/>
      <c r="FD284"/>
      <c r="FE284"/>
      <c r="FF284"/>
      <c r="FG284"/>
      <c r="FH284"/>
      <c r="FI284"/>
      <c r="FJ284"/>
      <c r="FK284"/>
      <c r="FL284"/>
      <c r="FM284"/>
      <c r="FN284"/>
      <c r="FO284"/>
      <c r="FP284"/>
      <c r="FQ284"/>
      <c r="FR284"/>
      <c r="FS284"/>
      <c r="FT284"/>
      <c r="FU284"/>
      <c r="FV284"/>
      <c r="FW284"/>
      <c r="FX284"/>
      <c r="FY284"/>
      <c r="FZ284"/>
      <c r="GA284"/>
      <c r="GB284"/>
      <c r="GC284"/>
      <c r="GD284"/>
      <c r="GE284"/>
      <c r="GF284"/>
      <c r="GG284"/>
      <c r="GH284"/>
      <c r="GI284"/>
      <c r="GJ284"/>
      <c r="GK284"/>
      <c r="GL284"/>
      <c r="GM284"/>
      <c r="GN284"/>
      <c r="GO284"/>
      <c r="GP284"/>
      <c r="GQ284"/>
      <c r="GR284"/>
      <c r="GS284"/>
      <c r="GT284"/>
      <c r="GU284"/>
      <c r="GV284"/>
      <c r="GW284"/>
      <c r="GX284"/>
      <c r="GY284"/>
      <c r="GZ284"/>
      <c r="HA284"/>
      <c r="HB284"/>
      <c r="HC284"/>
      <c r="HD284"/>
      <c r="HE284"/>
      <c r="HF284"/>
      <c r="HG284"/>
      <c r="HH284"/>
      <c r="HI284"/>
      <c r="HJ284"/>
      <c r="HK284"/>
      <c r="HL284"/>
      <c r="HM284"/>
      <c r="HN284"/>
      <c r="HO284"/>
      <c r="HP284"/>
      <c r="HQ284"/>
      <c r="HR284"/>
      <c r="HS284"/>
      <c r="HT284"/>
      <c r="HU284"/>
      <c r="HV284"/>
      <c r="HW284"/>
      <c r="HX284"/>
      <c r="HY284"/>
      <c r="HZ284"/>
      <c r="IA284"/>
      <c r="IB284"/>
      <c r="IC284"/>
      <c r="ID284"/>
      <c r="IE284"/>
      <c r="IF284"/>
      <c r="IG284"/>
      <c r="IH284"/>
      <c r="II284"/>
      <c r="IJ284"/>
      <c r="IK284"/>
      <c r="IL284"/>
      <c r="IM284"/>
      <c r="IN284"/>
      <c r="IO284"/>
      <c r="IP284"/>
      <c r="IQ284"/>
      <c r="IR284"/>
      <c r="IS284"/>
      <c r="IT284"/>
      <c r="IU284"/>
      <c r="IV284"/>
      <c r="IW284"/>
      <c r="IX284"/>
      <c r="IY284"/>
      <c r="IZ284"/>
      <c r="JA284"/>
      <c r="JB284"/>
      <c r="JC284"/>
      <c r="JD284"/>
      <c r="JE284"/>
      <c r="JF284"/>
      <c r="JG284"/>
      <c r="JH284"/>
      <c r="JI284"/>
      <c r="JJ284"/>
      <c r="JK284"/>
      <c r="JL284"/>
      <c r="JM284"/>
      <c r="JN284"/>
      <c r="JO284"/>
      <c r="JP284"/>
      <c r="JQ284"/>
      <c r="JR284"/>
      <c r="JS284"/>
      <c r="JT284"/>
      <c r="JU284"/>
      <c r="JV284"/>
      <c r="JW284"/>
      <c r="JX284"/>
      <c r="JY284"/>
      <c r="JZ284"/>
      <c r="KA284"/>
      <c r="KB284"/>
      <c r="KC284"/>
      <c r="KD284"/>
      <c r="KE284"/>
      <c r="KF284"/>
      <c r="KG284"/>
      <c r="KH284"/>
      <c r="KI284"/>
      <c r="KJ284"/>
      <c r="KK284"/>
      <c r="KL284"/>
      <c r="KM284"/>
      <c r="KN284"/>
      <c r="KO284"/>
      <c r="KP284"/>
      <c r="KQ284"/>
      <c r="KR284"/>
      <c r="KS284"/>
    </row>
    <row r="285" spans="2:305" hidden="1" x14ac:dyDescent="0.2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c r="EZ285"/>
      <c r="FA285"/>
      <c r="FB285"/>
      <c r="FC285"/>
      <c r="FD285"/>
      <c r="FE285"/>
      <c r="FF285"/>
      <c r="FG285"/>
      <c r="FH285"/>
      <c r="FI285"/>
      <c r="FJ285"/>
      <c r="FK285"/>
      <c r="FL285"/>
      <c r="FM285"/>
      <c r="FN285"/>
      <c r="FO285"/>
      <c r="FP285"/>
      <c r="FQ285"/>
      <c r="FR285"/>
      <c r="FS285"/>
      <c r="FT285"/>
      <c r="FU285"/>
      <c r="FV285"/>
      <c r="FW285"/>
      <c r="FX285"/>
      <c r="FY285"/>
      <c r="FZ285"/>
      <c r="GA285"/>
      <c r="GB285"/>
      <c r="GC285"/>
      <c r="GD285"/>
      <c r="GE285"/>
      <c r="GF285"/>
      <c r="GG285"/>
      <c r="GH285"/>
      <c r="GI285"/>
      <c r="GJ285"/>
      <c r="GK285"/>
      <c r="GL285"/>
      <c r="GM285"/>
      <c r="GN285"/>
      <c r="GO285"/>
      <c r="GP285"/>
      <c r="GQ285"/>
      <c r="GR285"/>
      <c r="GS285"/>
      <c r="GT285"/>
      <c r="GU285"/>
      <c r="GV285"/>
      <c r="GW285"/>
      <c r="GX285"/>
      <c r="GY285"/>
      <c r="GZ285"/>
      <c r="HA285"/>
      <c r="HB285"/>
      <c r="HC285"/>
      <c r="HD285"/>
      <c r="HE285"/>
      <c r="HF285"/>
      <c r="HG285"/>
      <c r="HH285"/>
      <c r="HI285"/>
      <c r="HJ285"/>
      <c r="HK285"/>
      <c r="HL285"/>
      <c r="HM285"/>
      <c r="HN285"/>
      <c r="HO285"/>
      <c r="HP285"/>
      <c r="HQ285"/>
      <c r="HR285"/>
      <c r="HS285"/>
      <c r="HT285"/>
      <c r="HU285"/>
      <c r="HV285"/>
      <c r="HW285"/>
      <c r="HX285"/>
      <c r="HY285"/>
      <c r="HZ285"/>
      <c r="IA285"/>
      <c r="IB285"/>
      <c r="IC285"/>
      <c r="ID285"/>
      <c r="IE285"/>
      <c r="IF285"/>
      <c r="IG285"/>
      <c r="IH285"/>
      <c r="II285"/>
      <c r="IJ285"/>
      <c r="IK285"/>
      <c r="IL285"/>
      <c r="IM285"/>
      <c r="IN285"/>
      <c r="IO285"/>
      <c r="IP285"/>
      <c r="IQ285"/>
      <c r="IR285"/>
      <c r="IS285"/>
      <c r="IT285"/>
      <c r="IU285"/>
      <c r="IV285"/>
      <c r="IW285"/>
      <c r="IX285"/>
      <c r="IY285"/>
      <c r="IZ285"/>
      <c r="JA285"/>
      <c r="JB285"/>
      <c r="JC285"/>
      <c r="JD285"/>
      <c r="JE285"/>
      <c r="JF285"/>
      <c r="JG285"/>
      <c r="JH285"/>
      <c r="JI285"/>
      <c r="JJ285"/>
      <c r="JK285"/>
      <c r="JL285"/>
      <c r="JM285"/>
      <c r="JN285"/>
      <c r="JO285"/>
      <c r="JP285"/>
      <c r="JQ285"/>
      <c r="JR285"/>
      <c r="JS285"/>
      <c r="JT285"/>
      <c r="JU285"/>
      <c r="JV285"/>
      <c r="JW285"/>
      <c r="JX285"/>
      <c r="JY285"/>
      <c r="JZ285"/>
      <c r="KA285"/>
      <c r="KB285"/>
      <c r="KC285"/>
      <c r="KD285"/>
      <c r="KE285"/>
      <c r="KF285"/>
      <c r="KG285"/>
      <c r="KH285"/>
      <c r="KI285"/>
      <c r="KJ285"/>
      <c r="KK285"/>
      <c r="KL285"/>
      <c r="KM285"/>
      <c r="KN285"/>
      <c r="KO285"/>
      <c r="KP285"/>
      <c r="KQ285"/>
      <c r="KR285"/>
      <c r="KS285"/>
    </row>
    <row r="286" spans="2:305" hidden="1" x14ac:dyDescent="0.25">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ER286"/>
      <c r="ES286"/>
      <c r="ET286"/>
      <c r="EU286"/>
      <c r="EV286"/>
      <c r="EW286"/>
      <c r="EX286"/>
      <c r="EY286"/>
      <c r="EZ286"/>
      <c r="FA286"/>
      <c r="FB286"/>
      <c r="FC286"/>
      <c r="FD286"/>
      <c r="FE286"/>
      <c r="FF286"/>
      <c r="FG286"/>
      <c r="FH286"/>
      <c r="FI286"/>
      <c r="FJ286"/>
      <c r="FK286"/>
      <c r="FL286"/>
      <c r="FM286"/>
      <c r="FN286"/>
      <c r="FO286"/>
      <c r="FP286"/>
      <c r="FQ286"/>
      <c r="FR286"/>
      <c r="FS286"/>
      <c r="FT286"/>
      <c r="FU286"/>
      <c r="FV286"/>
      <c r="FW286"/>
      <c r="FX286"/>
      <c r="FY286"/>
      <c r="FZ286"/>
      <c r="GA286"/>
      <c r="GB286"/>
      <c r="GC286"/>
      <c r="GD286"/>
      <c r="GE286"/>
      <c r="GF286"/>
      <c r="GG286"/>
      <c r="GH286"/>
      <c r="GI286"/>
      <c r="GJ286"/>
      <c r="GK286"/>
      <c r="GL286"/>
      <c r="GM286"/>
      <c r="GN286"/>
      <c r="GO286"/>
      <c r="GP286"/>
      <c r="GQ286"/>
      <c r="GR286"/>
      <c r="GS286"/>
      <c r="GT286"/>
      <c r="GU286"/>
      <c r="GV286"/>
      <c r="GW286"/>
      <c r="GX286"/>
      <c r="GY286"/>
      <c r="GZ286"/>
      <c r="HA286"/>
      <c r="HB286"/>
      <c r="HC286"/>
      <c r="HD286"/>
      <c r="HE286"/>
      <c r="HF286"/>
      <c r="HG286"/>
      <c r="HH286"/>
      <c r="HI286"/>
      <c r="HJ286"/>
      <c r="HK286"/>
      <c r="HL286"/>
      <c r="HM286"/>
      <c r="HN286"/>
      <c r="HO286"/>
      <c r="HP286"/>
      <c r="HQ286"/>
      <c r="HR286"/>
      <c r="HS286"/>
      <c r="HT286"/>
      <c r="HU286"/>
      <c r="HV286"/>
      <c r="HW286"/>
      <c r="HX286"/>
      <c r="HY286"/>
      <c r="HZ286"/>
      <c r="IA286"/>
      <c r="IB286"/>
      <c r="IC286"/>
      <c r="ID286"/>
      <c r="IE286"/>
      <c r="IF286"/>
      <c r="IG286"/>
      <c r="IH286"/>
      <c r="II286"/>
      <c r="IJ286"/>
      <c r="IK286"/>
      <c r="IL286"/>
      <c r="IM286"/>
      <c r="IN286"/>
      <c r="IO286"/>
      <c r="IP286"/>
      <c r="IQ286"/>
      <c r="IR286"/>
      <c r="IS286"/>
      <c r="IT286"/>
      <c r="IU286"/>
      <c r="IV286"/>
      <c r="IW286"/>
      <c r="IX286"/>
      <c r="IY286"/>
      <c r="IZ286"/>
      <c r="JA286"/>
      <c r="JB286"/>
      <c r="JC286"/>
      <c r="JD286"/>
      <c r="JE286"/>
      <c r="JF286"/>
      <c r="JG286"/>
      <c r="JH286"/>
      <c r="JI286"/>
      <c r="JJ286"/>
      <c r="JK286"/>
      <c r="JL286"/>
      <c r="JM286"/>
      <c r="JN286"/>
      <c r="JO286"/>
      <c r="JP286"/>
      <c r="JQ286"/>
      <c r="JR286"/>
      <c r="JS286"/>
      <c r="JT286"/>
      <c r="JU286"/>
      <c r="JV286"/>
      <c r="JW286"/>
      <c r="JX286"/>
      <c r="JY286"/>
      <c r="JZ286"/>
      <c r="KA286"/>
      <c r="KB286"/>
      <c r="KC286"/>
      <c r="KD286"/>
      <c r="KE286"/>
      <c r="KF286"/>
      <c r="KG286"/>
      <c r="KH286"/>
      <c r="KI286"/>
      <c r="KJ286"/>
      <c r="KK286"/>
      <c r="KL286"/>
      <c r="KM286"/>
      <c r="KN286"/>
      <c r="KO286"/>
      <c r="KP286"/>
      <c r="KQ286"/>
      <c r="KR286"/>
      <c r="KS286"/>
    </row>
    <row r="287" spans="2:305" hidden="1" x14ac:dyDescent="0.25">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ER287"/>
      <c r="ES287"/>
      <c r="ET287"/>
      <c r="EU287"/>
      <c r="EV287"/>
      <c r="EW287"/>
      <c r="EX287"/>
      <c r="EY287"/>
      <c r="EZ287"/>
      <c r="FA287"/>
      <c r="FB287"/>
      <c r="FC287"/>
      <c r="FD287"/>
      <c r="FE287"/>
      <c r="FF287"/>
      <c r="FG287"/>
      <c r="FH287"/>
      <c r="FI287"/>
      <c r="FJ287"/>
      <c r="FK287"/>
      <c r="FL287"/>
      <c r="FM287"/>
      <c r="FN287"/>
      <c r="FO287"/>
      <c r="FP287"/>
      <c r="FQ287"/>
      <c r="FR287"/>
      <c r="FS287"/>
      <c r="FT287"/>
      <c r="FU287"/>
      <c r="FV287"/>
      <c r="FW287"/>
      <c r="FX287"/>
      <c r="FY287"/>
      <c r="FZ287"/>
      <c r="GA287"/>
      <c r="GB287"/>
      <c r="GC287"/>
      <c r="GD287"/>
      <c r="GE287"/>
      <c r="GF287"/>
      <c r="GG287"/>
      <c r="GH287"/>
      <c r="GI287"/>
      <c r="GJ287"/>
      <c r="GK287"/>
      <c r="GL287"/>
      <c r="GM287"/>
      <c r="GN287"/>
      <c r="GO287"/>
      <c r="GP287"/>
      <c r="GQ287"/>
      <c r="GR287"/>
      <c r="GS287"/>
      <c r="GT287"/>
      <c r="GU287"/>
      <c r="GV287"/>
      <c r="GW287"/>
      <c r="GX287"/>
      <c r="GY287"/>
      <c r="GZ287"/>
      <c r="HA287"/>
      <c r="HB287"/>
      <c r="HC287"/>
      <c r="HD287"/>
      <c r="HE287"/>
      <c r="HF287"/>
      <c r="HG287"/>
      <c r="HH287"/>
      <c r="HI287"/>
      <c r="HJ287"/>
      <c r="HK287"/>
      <c r="HL287"/>
      <c r="HM287"/>
      <c r="HN287"/>
      <c r="HO287"/>
      <c r="HP287"/>
      <c r="HQ287"/>
      <c r="HR287"/>
      <c r="HS287"/>
      <c r="HT287"/>
      <c r="HU287"/>
      <c r="HV287"/>
      <c r="HW287"/>
      <c r="HX287"/>
      <c r="HY287"/>
      <c r="HZ287"/>
      <c r="IA287"/>
      <c r="IB287"/>
      <c r="IC287"/>
      <c r="ID287"/>
      <c r="IE287"/>
      <c r="IF287"/>
      <c r="IG287"/>
      <c r="IH287"/>
      <c r="II287"/>
      <c r="IJ287"/>
      <c r="IK287"/>
      <c r="IL287"/>
      <c r="IM287"/>
      <c r="IN287"/>
      <c r="IO287"/>
      <c r="IP287"/>
      <c r="IQ287"/>
      <c r="IR287"/>
      <c r="IS287"/>
      <c r="IT287"/>
      <c r="IU287"/>
      <c r="IV287"/>
      <c r="IW287"/>
      <c r="IX287"/>
      <c r="IY287"/>
      <c r="IZ287"/>
      <c r="JA287"/>
      <c r="JB287"/>
      <c r="JC287"/>
      <c r="JD287"/>
      <c r="JE287"/>
      <c r="JF287"/>
      <c r="JG287"/>
      <c r="JH287"/>
      <c r="JI287"/>
      <c r="JJ287"/>
      <c r="JK287"/>
      <c r="JL287"/>
      <c r="JM287"/>
      <c r="JN287"/>
      <c r="JO287"/>
      <c r="JP287"/>
      <c r="JQ287"/>
      <c r="JR287"/>
      <c r="JS287"/>
      <c r="JT287"/>
      <c r="JU287"/>
      <c r="JV287"/>
      <c r="JW287"/>
      <c r="JX287"/>
      <c r="JY287"/>
      <c r="JZ287"/>
      <c r="KA287"/>
      <c r="KB287"/>
      <c r="KC287"/>
      <c r="KD287"/>
      <c r="KE287"/>
      <c r="KF287"/>
      <c r="KG287"/>
      <c r="KH287"/>
      <c r="KI287"/>
      <c r="KJ287"/>
      <c r="KK287"/>
      <c r="KL287"/>
      <c r="KM287"/>
      <c r="KN287"/>
      <c r="KO287"/>
      <c r="KP287"/>
      <c r="KQ287"/>
      <c r="KR287"/>
      <c r="KS287"/>
    </row>
    <row r="288" spans="2:305" hidden="1" x14ac:dyDescent="0.25">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c r="EZ288"/>
      <c r="FA288"/>
      <c r="FB288"/>
      <c r="FC288"/>
      <c r="FD288"/>
      <c r="FE288"/>
      <c r="FF288"/>
      <c r="FG288"/>
      <c r="FH288"/>
      <c r="FI288"/>
      <c r="FJ288"/>
      <c r="FK288"/>
      <c r="FL288"/>
      <c r="FM288"/>
      <c r="FN288"/>
      <c r="FO288"/>
      <c r="FP288"/>
      <c r="FQ288"/>
      <c r="FR288"/>
      <c r="FS288"/>
      <c r="FT288"/>
      <c r="FU288"/>
      <c r="FV288"/>
      <c r="FW288"/>
      <c r="FX288"/>
      <c r="FY288"/>
      <c r="FZ288"/>
      <c r="GA288"/>
      <c r="GB288"/>
      <c r="GC288"/>
      <c r="GD288"/>
      <c r="GE288"/>
      <c r="GF288"/>
      <c r="GG288"/>
      <c r="GH288"/>
      <c r="GI288"/>
      <c r="GJ288"/>
      <c r="GK288"/>
      <c r="GL288"/>
      <c r="GM288"/>
      <c r="GN288"/>
      <c r="GO288"/>
      <c r="GP288"/>
      <c r="GQ288"/>
      <c r="GR288"/>
      <c r="GS288"/>
      <c r="GT288"/>
      <c r="GU288"/>
      <c r="GV288"/>
      <c r="GW288"/>
      <c r="GX288"/>
      <c r="GY288"/>
      <c r="GZ288"/>
      <c r="HA288"/>
      <c r="HB288"/>
      <c r="HC288"/>
      <c r="HD288"/>
      <c r="HE288"/>
      <c r="HF288"/>
      <c r="HG288"/>
      <c r="HH288"/>
      <c r="HI288"/>
      <c r="HJ288"/>
      <c r="HK288"/>
      <c r="HL288"/>
      <c r="HM288"/>
      <c r="HN288"/>
      <c r="HO288"/>
      <c r="HP288"/>
      <c r="HQ288"/>
      <c r="HR288"/>
      <c r="HS288"/>
      <c r="HT288"/>
      <c r="HU288"/>
      <c r="HV288"/>
      <c r="HW288"/>
      <c r="HX288"/>
      <c r="HY288"/>
      <c r="HZ288"/>
      <c r="IA288"/>
      <c r="IB288"/>
      <c r="IC288"/>
      <c r="ID288"/>
      <c r="IE288"/>
      <c r="IF288"/>
      <c r="IG288"/>
      <c r="IH288"/>
      <c r="II288"/>
      <c r="IJ288"/>
      <c r="IK288"/>
      <c r="IL288"/>
      <c r="IM288"/>
      <c r="IN288"/>
      <c r="IO288"/>
      <c r="IP288"/>
      <c r="IQ288"/>
      <c r="IR288"/>
      <c r="IS288"/>
      <c r="IT288"/>
      <c r="IU288"/>
      <c r="IV288"/>
      <c r="IW288"/>
      <c r="IX288"/>
      <c r="IY288"/>
      <c r="IZ288"/>
      <c r="JA288"/>
      <c r="JB288"/>
      <c r="JC288"/>
      <c r="JD288"/>
      <c r="JE288"/>
      <c r="JF288"/>
      <c r="JG288"/>
      <c r="JH288"/>
      <c r="JI288"/>
      <c r="JJ288"/>
      <c r="JK288"/>
      <c r="JL288"/>
      <c r="JM288"/>
      <c r="JN288"/>
      <c r="JO288"/>
      <c r="JP288"/>
      <c r="JQ288"/>
      <c r="JR288"/>
      <c r="JS288"/>
      <c r="JT288"/>
      <c r="JU288"/>
      <c r="JV288"/>
      <c r="JW288"/>
      <c r="JX288"/>
      <c r="JY288"/>
      <c r="JZ288"/>
      <c r="KA288"/>
      <c r="KB288"/>
      <c r="KC288"/>
      <c r="KD288"/>
      <c r="KE288"/>
      <c r="KF288"/>
      <c r="KG288"/>
      <c r="KH288"/>
      <c r="KI288"/>
      <c r="KJ288"/>
      <c r="KK288"/>
      <c r="KL288"/>
      <c r="KM288"/>
      <c r="KN288"/>
      <c r="KO288"/>
      <c r="KP288"/>
      <c r="KQ288"/>
      <c r="KR288"/>
      <c r="KS288"/>
    </row>
    <row r="289" spans="2:305" hidden="1" x14ac:dyDescent="0.25">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c r="EZ289"/>
      <c r="FA289"/>
      <c r="FB289"/>
      <c r="FC289"/>
      <c r="FD289"/>
      <c r="FE289"/>
      <c r="FF289"/>
      <c r="FG289"/>
      <c r="FH289"/>
      <c r="FI289"/>
      <c r="FJ289"/>
      <c r="FK289"/>
      <c r="FL289"/>
      <c r="FM289"/>
      <c r="FN289"/>
      <c r="FO289"/>
      <c r="FP289"/>
      <c r="FQ289"/>
      <c r="FR289"/>
      <c r="FS289"/>
      <c r="FT289"/>
      <c r="FU289"/>
      <c r="FV289"/>
      <c r="FW289"/>
      <c r="FX289"/>
      <c r="FY289"/>
      <c r="FZ289"/>
      <c r="GA289"/>
      <c r="GB289"/>
      <c r="GC289"/>
      <c r="GD289"/>
      <c r="GE289"/>
      <c r="GF289"/>
      <c r="GG289"/>
      <c r="GH289"/>
      <c r="GI289"/>
      <c r="GJ289"/>
      <c r="GK289"/>
      <c r="GL289"/>
      <c r="GM289"/>
      <c r="GN289"/>
      <c r="GO289"/>
      <c r="GP289"/>
      <c r="GQ289"/>
      <c r="GR289"/>
      <c r="GS289"/>
      <c r="GT289"/>
      <c r="GU289"/>
      <c r="GV289"/>
      <c r="GW289"/>
      <c r="GX289"/>
      <c r="GY289"/>
      <c r="GZ289"/>
      <c r="HA289"/>
      <c r="HB289"/>
      <c r="HC289"/>
      <c r="HD289"/>
      <c r="HE289"/>
      <c r="HF289"/>
      <c r="HG289"/>
      <c r="HH289"/>
      <c r="HI289"/>
      <c r="HJ289"/>
      <c r="HK289"/>
      <c r="HL289"/>
      <c r="HM289"/>
      <c r="HN289"/>
      <c r="HO289"/>
      <c r="HP289"/>
      <c r="HQ289"/>
      <c r="HR289"/>
      <c r="HS289"/>
      <c r="HT289"/>
      <c r="HU289"/>
      <c r="HV289"/>
      <c r="HW289"/>
      <c r="HX289"/>
      <c r="HY289"/>
      <c r="HZ289"/>
      <c r="IA289"/>
      <c r="IB289"/>
      <c r="IC289"/>
      <c r="ID289"/>
      <c r="IE289"/>
      <c r="IF289"/>
      <c r="IG289"/>
      <c r="IH289"/>
      <c r="II289"/>
      <c r="IJ289"/>
      <c r="IK289"/>
      <c r="IL289"/>
      <c r="IM289"/>
      <c r="IN289"/>
      <c r="IO289"/>
      <c r="IP289"/>
      <c r="IQ289"/>
      <c r="IR289"/>
      <c r="IS289"/>
      <c r="IT289"/>
      <c r="IU289"/>
      <c r="IV289"/>
      <c r="IW289"/>
      <c r="IX289"/>
      <c r="IY289"/>
      <c r="IZ289"/>
      <c r="JA289"/>
      <c r="JB289"/>
      <c r="JC289"/>
      <c r="JD289"/>
      <c r="JE289"/>
      <c r="JF289"/>
      <c r="JG289"/>
      <c r="JH289"/>
      <c r="JI289"/>
      <c r="JJ289"/>
      <c r="JK289"/>
      <c r="JL289"/>
      <c r="JM289"/>
      <c r="JN289"/>
      <c r="JO289"/>
      <c r="JP289"/>
      <c r="JQ289"/>
      <c r="JR289"/>
      <c r="JS289"/>
      <c r="JT289"/>
      <c r="JU289"/>
      <c r="JV289"/>
      <c r="JW289"/>
      <c r="JX289"/>
      <c r="JY289"/>
      <c r="JZ289"/>
      <c r="KA289"/>
      <c r="KB289"/>
      <c r="KC289"/>
      <c r="KD289"/>
      <c r="KE289"/>
      <c r="KF289"/>
      <c r="KG289"/>
      <c r="KH289"/>
      <c r="KI289"/>
      <c r="KJ289"/>
      <c r="KK289"/>
      <c r="KL289"/>
      <c r="KM289"/>
      <c r="KN289"/>
      <c r="KO289"/>
      <c r="KP289"/>
      <c r="KQ289"/>
      <c r="KR289"/>
      <c r="KS289"/>
    </row>
    <row r="290" spans="2:305" hidden="1" x14ac:dyDescent="0.25">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ER290"/>
      <c r="ES290"/>
      <c r="ET290"/>
      <c r="EU290"/>
      <c r="EV290"/>
      <c r="EW290"/>
      <c r="EX290"/>
      <c r="EY290"/>
      <c r="EZ290"/>
      <c r="FA290"/>
      <c r="FB290"/>
      <c r="FC290"/>
      <c r="FD290"/>
      <c r="FE290"/>
      <c r="FF290"/>
      <c r="FG290"/>
      <c r="FH290"/>
      <c r="FI290"/>
      <c r="FJ290"/>
      <c r="FK290"/>
      <c r="FL290"/>
      <c r="FM290"/>
      <c r="FN290"/>
      <c r="FO290"/>
      <c r="FP290"/>
      <c r="FQ290"/>
      <c r="FR290"/>
      <c r="FS290"/>
      <c r="FT290"/>
      <c r="FU290"/>
      <c r="FV290"/>
      <c r="FW290"/>
      <c r="FX290"/>
      <c r="FY290"/>
      <c r="FZ290"/>
      <c r="GA290"/>
      <c r="GB290"/>
      <c r="GC290"/>
      <c r="GD290"/>
      <c r="GE290"/>
      <c r="GF290"/>
      <c r="GG290"/>
      <c r="GH290"/>
      <c r="GI290"/>
      <c r="GJ290"/>
      <c r="GK290"/>
      <c r="GL290"/>
      <c r="GM290"/>
      <c r="GN290"/>
      <c r="GO290"/>
      <c r="GP290"/>
      <c r="GQ290"/>
      <c r="GR290"/>
      <c r="GS290"/>
      <c r="GT290"/>
      <c r="GU290"/>
      <c r="GV290"/>
      <c r="GW290"/>
      <c r="GX290"/>
      <c r="GY290"/>
      <c r="GZ290"/>
      <c r="HA290"/>
      <c r="HB290"/>
      <c r="HC290"/>
      <c r="HD290"/>
      <c r="HE290"/>
      <c r="HF290"/>
      <c r="HG290"/>
      <c r="HH290"/>
      <c r="HI290"/>
      <c r="HJ290"/>
      <c r="HK290"/>
      <c r="HL290"/>
      <c r="HM290"/>
      <c r="HN290"/>
      <c r="HO290"/>
      <c r="HP290"/>
      <c r="HQ290"/>
      <c r="HR290"/>
      <c r="HS290"/>
      <c r="HT290"/>
      <c r="HU290"/>
      <c r="HV290"/>
      <c r="HW290"/>
      <c r="HX290"/>
      <c r="HY290"/>
      <c r="HZ290"/>
      <c r="IA290"/>
      <c r="IB290"/>
      <c r="IC290"/>
      <c r="ID290"/>
      <c r="IE290"/>
      <c r="IF290"/>
      <c r="IG290"/>
      <c r="IH290"/>
      <c r="II290"/>
      <c r="IJ290"/>
      <c r="IK290"/>
      <c r="IL290"/>
      <c r="IM290"/>
      <c r="IN290"/>
      <c r="IO290"/>
      <c r="IP290"/>
      <c r="IQ290"/>
      <c r="IR290"/>
      <c r="IS290"/>
      <c r="IT290"/>
      <c r="IU290"/>
      <c r="IV290"/>
      <c r="IW290"/>
      <c r="IX290"/>
      <c r="IY290"/>
      <c r="IZ290"/>
      <c r="JA290"/>
      <c r="JB290"/>
      <c r="JC290"/>
      <c r="JD290"/>
      <c r="JE290"/>
      <c r="JF290"/>
      <c r="JG290"/>
      <c r="JH290"/>
      <c r="JI290"/>
      <c r="JJ290"/>
      <c r="JK290"/>
      <c r="JL290"/>
      <c r="JM290"/>
      <c r="JN290"/>
      <c r="JO290"/>
      <c r="JP290"/>
      <c r="JQ290"/>
      <c r="JR290"/>
      <c r="JS290"/>
      <c r="JT290"/>
      <c r="JU290"/>
      <c r="JV290"/>
      <c r="JW290"/>
      <c r="JX290"/>
      <c r="JY290"/>
      <c r="JZ290"/>
      <c r="KA290"/>
      <c r="KB290"/>
      <c r="KC290"/>
      <c r="KD290"/>
      <c r="KE290"/>
      <c r="KF290"/>
      <c r="KG290"/>
      <c r="KH290"/>
      <c r="KI290"/>
      <c r="KJ290"/>
      <c r="KK290"/>
      <c r="KL290"/>
      <c r="KM290"/>
      <c r="KN290"/>
      <c r="KO290"/>
      <c r="KP290"/>
      <c r="KQ290"/>
      <c r="KR290"/>
      <c r="KS290"/>
    </row>
    <row r="291" spans="2:305" hidden="1" x14ac:dyDescent="0.25">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ER291"/>
      <c r="ES291"/>
      <c r="ET291"/>
      <c r="EU291"/>
      <c r="EV291"/>
      <c r="EW291"/>
      <c r="EX291"/>
      <c r="EY291"/>
      <c r="EZ291"/>
      <c r="FA291"/>
      <c r="FB291"/>
      <c r="FC291"/>
      <c r="FD291"/>
      <c r="FE291"/>
      <c r="FF291"/>
      <c r="FG291"/>
      <c r="FH291"/>
      <c r="FI291"/>
      <c r="FJ291"/>
      <c r="FK291"/>
      <c r="FL291"/>
      <c r="FM291"/>
      <c r="FN291"/>
      <c r="FO291"/>
      <c r="FP291"/>
      <c r="FQ291"/>
      <c r="FR291"/>
      <c r="FS291"/>
      <c r="FT291"/>
      <c r="FU291"/>
      <c r="FV291"/>
      <c r="FW291"/>
      <c r="FX291"/>
      <c r="FY291"/>
      <c r="FZ291"/>
      <c r="GA291"/>
      <c r="GB291"/>
      <c r="GC291"/>
      <c r="GD291"/>
      <c r="GE291"/>
      <c r="GF291"/>
      <c r="GG291"/>
      <c r="GH291"/>
      <c r="GI291"/>
      <c r="GJ291"/>
      <c r="GK291"/>
      <c r="GL291"/>
      <c r="GM291"/>
      <c r="GN291"/>
      <c r="GO291"/>
      <c r="GP291"/>
      <c r="GQ291"/>
      <c r="GR291"/>
      <c r="GS291"/>
      <c r="GT291"/>
      <c r="GU291"/>
      <c r="GV291"/>
      <c r="GW291"/>
      <c r="GX291"/>
      <c r="GY291"/>
      <c r="GZ291"/>
      <c r="HA291"/>
      <c r="HB291"/>
      <c r="HC291"/>
      <c r="HD291"/>
      <c r="HE291"/>
      <c r="HF291"/>
      <c r="HG291"/>
      <c r="HH291"/>
      <c r="HI291"/>
      <c r="HJ291"/>
      <c r="HK291"/>
      <c r="HL291"/>
      <c r="HM291"/>
      <c r="HN291"/>
      <c r="HO291"/>
      <c r="HP291"/>
      <c r="HQ291"/>
      <c r="HR291"/>
      <c r="HS291"/>
      <c r="HT291"/>
      <c r="HU291"/>
      <c r="HV291"/>
      <c r="HW291"/>
      <c r="HX291"/>
      <c r="HY291"/>
      <c r="HZ291"/>
      <c r="IA291"/>
      <c r="IB291"/>
      <c r="IC291"/>
      <c r="ID291"/>
      <c r="IE291"/>
      <c r="IF291"/>
      <c r="IG291"/>
      <c r="IH291"/>
      <c r="II291"/>
      <c r="IJ291"/>
      <c r="IK291"/>
      <c r="IL291"/>
      <c r="IM291"/>
      <c r="IN291"/>
      <c r="IO291"/>
      <c r="IP291"/>
      <c r="IQ291"/>
      <c r="IR291"/>
      <c r="IS291"/>
      <c r="IT291"/>
      <c r="IU291"/>
      <c r="IV291"/>
      <c r="IW291"/>
      <c r="IX291"/>
      <c r="IY291"/>
      <c r="IZ291"/>
      <c r="JA291"/>
      <c r="JB291"/>
      <c r="JC291"/>
      <c r="JD291"/>
      <c r="JE291"/>
      <c r="JF291"/>
      <c r="JG291"/>
      <c r="JH291"/>
      <c r="JI291"/>
      <c r="JJ291"/>
      <c r="JK291"/>
      <c r="JL291"/>
      <c r="JM291"/>
      <c r="JN291"/>
      <c r="JO291"/>
      <c r="JP291"/>
      <c r="JQ291"/>
      <c r="JR291"/>
      <c r="JS291"/>
      <c r="JT291"/>
      <c r="JU291"/>
      <c r="JV291"/>
      <c r="JW291"/>
      <c r="JX291"/>
      <c r="JY291"/>
      <c r="JZ291"/>
      <c r="KA291"/>
      <c r="KB291"/>
      <c r="KC291"/>
      <c r="KD291"/>
      <c r="KE291"/>
      <c r="KF291"/>
      <c r="KG291"/>
      <c r="KH291"/>
      <c r="KI291"/>
      <c r="KJ291"/>
      <c r="KK291"/>
      <c r="KL291"/>
      <c r="KM291"/>
      <c r="KN291"/>
      <c r="KO291"/>
      <c r="KP291"/>
      <c r="KQ291"/>
      <c r="KR291"/>
      <c r="KS291"/>
    </row>
    <row r="292" spans="2:305" hidden="1" x14ac:dyDescent="0.25">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ER292"/>
      <c r="ES292"/>
      <c r="ET292"/>
      <c r="EU292"/>
      <c r="EV292"/>
      <c r="EW292"/>
      <c r="EX292"/>
      <c r="EY292"/>
      <c r="EZ292"/>
      <c r="FA292"/>
      <c r="FB292"/>
      <c r="FC292"/>
      <c r="FD292"/>
      <c r="FE292"/>
      <c r="FF292"/>
      <c r="FG292"/>
      <c r="FH292"/>
      <c r="FI292"/>
      <c r="FJ292"/>
      <c r="FK292"/>
      <c r="FL292"/>
      <c r="FM292"/>
      <c r="FN292"/>
      <c r="FO292"/>
      <c r="FP292"/>
      <c r="FQ292"/>
      <c r="FR292"/>
      <c r="FS292"/>
      <c r="FT292"/>
      <c r="FU292"/>
      <c r="FV292"/>
      <c r="FW292"/>
      <c r="FX292"/>
      <c r="FY292"/>
      <c r="FZ292"/>
      <c r="GA292"/>
      <c r="GB292"/>
      <c r="GC292"/>
      <c r="GD292"/>
      <c r="GE292"/>
      <c r="GF292"/>
      <c r="GG292"/>
      <c r="GH292"/>
      <c r="GI292"/>
      <c r="GJ292"/>
      <c r="GK292"/>
      <c r="GL292"/>
      <c r="GM292"/>
      <c r="GN292"/>
      <c r="GO292"/>
      <c r="GP292"/>
      <c r="GQ292"/>
      <c r="GR292"/>
      <c r="GS292"/>
      <c r="GT292"/>
      <c r="GU292"/>
      <c r="GV292"/>
      <c r="GW292"/>
      <c r="GX292"/>
      <c r="GY292"/>
      <c r="GZ292"/>
      <c r="HA292"/>
      <c r="HB292"/>
      <c r="HC292"/>
      <c r="HD292"/>
      <c r="HE292"/>
      <c r="HF292"/>
      <c r="HG292"/>
      <c r="HH292"/>
      <c r="HI292"/>
      <c r="HJ292"/>
      <c r="HK292"/>
      <c r="HL292"/>
      <c r="HM292"/>
      <c r="HN292"/>
      <c r="HO292"/>
      <c r="HP292"/>
      <c r="HQ292"/>
      <c r="HR292"/>
      <c r="HS292"/>
      <c r="HT292"/>
      <c r="HU292"/>
      <c r="HV292"/>
      <c r="HW292"/>
      <c r="HX292"/>
      <c r="HY292"/>
      <c r="HZ292"/>
      <c r="IA292"/>
      <c r="IB292"/>
      <c r="IC292"/>
      <c r="ID292"/>
      <c r="IE292"/>
      <c r="IF292"/>
      <c r="IG292"/>
      <c r="IH292"/>
      <c r="II292"/>
      <c r="IJ292"/>
      <c r="IK292"/>
      <c r="IL292"/>
      <c r="IM292"/>
      <c r="IN292"/>
      <c r="IO292"/>
      <c r="IP292"/>
      <c r="IQ292"/>
      <c r="IR292"/>
      <c r="IS292"/>
      <c r="IT292"/>
      <c r="IU292"/>
      <c r="IV292"/>
      <c r="IW292"/>
      <c r="IX292"/>
      <c r="IY292"/>
      <c r="IZ292"/>
      <c r="JA292"/>
      <c r="JB292"/>
      <c r="JC292"/>
      <c r="JD292"/>
      <c r="JE292"/>
      <c r="JF292"/>
      <c r="JG292"/>
      <c r="JH292"/>
      <c r="JI292"/>
      <c r="JJ292"/>
      <c r="JK292"/>
      <c r="JL292"/>
      <c r="JM292"/>
      <c r="JN292"/>
      <c r="JO292"/>
      <c r="JP292"/>
      <c r="JQ292"/>
      <c r="JR292"/>
      <c r="JS292"/>
      <c r="JT292"/>
      <c r="JU292"/>
      <c r="JV292"/>
      <c r="JW292"/>
      <c r="JX292"/>
      <c r="JY292"/>
      <c r="JZ292"/>
      <c r="KA292"/>
      <c r="KB292"/>
      <c r="KC292"/>
      <c r="KD292"/>
      <c r="KE292"/>
      <c r="KF292"/>
      <c r="KG292"/>
      <c r="KH292"/>
      <c r="KI292"/>
      <c r="KJ292"/>
      <c r="KK292"/>
      <c r="KL292"/>
      <c r="KM292"/>
      <c r="KN292"/>
      <c r="KO292"/>
      <c r="KP292"/>
      <c r="KQ292"/>
      <c r="KR292"/>
      <c r="KS292"/>
    </row>
    <row r="293" spans="2:305" hidden="1" x14ac:dyDescent="0.25">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ER293"/>
      <c r="ES293"/>
      <c r="ET293"/>
      <c r="EU293"/>
      <c r="EV293"/>
      <c r="EW293"/>
      <c r="EX293"/>
      <c r="EY293"/>
      <c r="EZ293"/>
      <c r="FA293"/>
      <c r="FB293"/>
      <c r="FC293"/>
      <c r="FD293"/>
      <c r="FE293"/>
      <c r="FF293"/>
      <c r="FG293"/>
      <c r="FH293"/>
      <c r="FI293"/>
      <c r="FJ293"/>
      <c r="FK293"/>
      <c r="FL293"/>
      <c r="FM293"/>
      <c r="FN293"/>
      <c r="FO293"/>
      <c r="FP293"/>
      <c r="FQ293"/>
      <c r="FR293"/>
      <c r="FS293"/>
      <c r="FT293"/>
      <c r="FU293"/>
      <c r="FV293"/>
      <c r="FW293"/>
      <c r="FX293"/>
      <c r="FY293"/>
      <c r="FZ293"/>
      <c r="GA293"/>
      <c r="GB293"/>
      <c r="GC293"/>
      <c r="GD293"/>
      <c r="GE293"/>
      <c r="GF293"/>
      <c r="GG293"/>
      <c r="GH293"/>
      <c r="GI293"/>
      <c r="GJ293"/>
      <c r="GK293"/>
      <c r="GL293"/>
      <c r="GM293"/>
      <c r="GN293"/>
      <c r="GO293"/>
      <c r="GP293"/>
      <c r="GQ293"/>
      <c r="GR293"/>
      <c r="GS293"/>
      <c r="GT293"/>
      <c r="GU293"/>
      <c r="GV293"/>
      <c r="GW293"/>
      <c r="GX293"/>
      <c r="GY293"/>
      <c r="GZ293"/>
      <c r="HA293"/>
      <c r="HB293"/>
      <c r="HC293"/>
      <c r="HD293"/>
      <c r="HE293"/>
      <c r="HF293"/>
      <c r="HG293"/>
      <c r="HH293"/>
      <c r="HI293"/>
      <c r="HJ293"/>
      <c r="HK293"/>
      <c r="HL293"/>
      <c r="HM293"/>
      <c r="HN293"/>
      <c r="HO293"/>
      <c r="HP293"/>
      <c r="HQ293"/>
      <c r="HR293"/>
      <c r="HS293"/>
      <c r="HT293"/>
      <c r="HU293"/>
      <c r="HV293"/>
      <c r="HW293"/>
      <c r="HX293"/>
      <c r="HY293"/>
      <c r="HZ293"/>
      <c r="IA293"/>
      <c r="IB293"/>
      <c r="IC293"/>
      <c r="ID293"/>
      <c r="IE293"/>
      <c r="IF293"/>
      <c r="IG293"/>
      <c r="IH293"/>
      <c r="II293"/>
      <c r="IJ293"/>
      <c r="IK293"/>
      <c r="IL293"/>
      <c r="IM293"/>
      <c r="IN293"/>
      <c r="IO293"/>
      <c r="IP293"/>
      <c r="IQ293"/>
      <c r="IR293"/>
      <c r="IS293"/>
      <c r="IT293"/>
      <c r="IU293"/>
      <c r="IV293"/>
      <c r="IW293"/>
      <c r="IX293"/>
      <c r="IY293"/>
      <c r="IZ293"/>
      <c r="JA293"/>
      <c r="JB293"/>
      <c r="JC293"/>
      <c r="JD293"/>
      <c r="JE293"/>
      <c r="JF293"/>
      <c r="JG293"/>
      <c r="JH293"/>
      <c r="JI293"/>
      <c r="JJ293"/>
      <c r="JK293"/>
      <c r="JL293"/>
      <c r="JM293"/>
      <c r="JN293"/>
      <c r="JO293"/>
      <c r="JP293"/>
      <c r="JQ293"/>
      <c r="JR293"/>
      <c r="JS293"/>
      <c r="JT293"/>
      <c r="JU293"/>
      <c r="JV293"/>
      <c r="JW293"/>
      <c r="JX293"/>
      <c r="JY293"/>
      <c r="JZ293"/>
      <c r="KA293"/>
      <c r="KB293"/>
      <c r="KC293"/>
      <c r="KD293"/>
      <c r="KE293"/>
      <c r="KF293"/>
      <c r="KG293"/>
      <c r="KH293"/>
      <c r="KI293"/>
      <c r="KJ293"/>
      <c r="KK293"/>
      <c r="KL293"/>
      <c r="KM293"/>
      <c r="KN293"/>
      <c r="KO293"/>
      <c r="KP293"/>
      <c r="KQ293"/>
      <c r="KR293"/>
      <c r="KS293"/>
    </row>
    <row r="294" spans="2:305" hidden="1" x14ac:dyDescent="0.25">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ER294"/>
      <c r="ES294"/>
      <c r="ET294"/>
      <c r="EU294"/>
      <c r="EV294"/>
      <c r="EW294"/>
      <c r="EX294"/>
      <c r="EY294"/>
      <c r="EZ294"/>
      <c r="FA294"/>
      <c r="FB294"/>
      <c r="FC294"/>
      <c r="FD294"/>
      <c r="FE294"/>
      <c r="FF294"/>
      <c r="FG294"/>
      <c r="FH294"/>
      <c r="FI294"/>
      <c r="FJ294"/>
      <c r="FK294"/>
      <c r="FL294"/>
      <c r="FM294"/>
      <c r="FN294"/>
      <c r="FO294"/>
      <c r="FP294"/>
      <c r="FQ294"/>
      <c r="FR294"/>
      <c r="FS294"/>
      <c r="FT294"/>
      <c r="FU294"/>
      <c r="FV294"/>
      <c r="FW294"/>
      <c r="FX294"/>
      <c r="FY294"/>
      <c r="FZ294"/>
      <c r="GA294"/>
      <c r="GB294"/>
      <c r="GC294"/>
      <c r="GD294"/>
      <c r="GE294"/>
      <c r="GF294"/>
      <c r="GG294"/>
      <c r="GH294"/>
      <c r="GI294"/>
      <c r="GJ294"/>
      <c r="GK294"/>
      <c r="GL294"/>
      <c r="GM294"/>
      <c r="GN294"/>
      <c r="GO294"/>
      <c r="GP294"/>
      <c r="GQ294"/>
      <c r="GR294"/>
      <c r="GS294"/>
      <c r="GT294"/>
      <c r="GU294"/>
      <c r="GV294"/>
      <c r="GW294"/>
      <c r="GX294"/>
      <c r="GY294"/>
      <c r="GZ294"/>
      <c r="HA294"/>
      <c r="HB294"/>
      <c r="HC294"/>
      <c r="HD294"/>
      <c r="HE294"/>
      <c r="HF294"/>
      <c r="HG294"/>
      <c r="HH294"/>
      <c r="HI294"/>
      <c r="HJ294"/>
      <c r="HK294"/>
      <c r="HL294"/>
      <c r="HM294"/>
      <c r="HN294"/>
      <c r="HO294"/>
      <c r="HP294"/>
      <c r="HQ294"/>
      <c r="HR294"/>
      <c r="HS294"/>
      <c r="HT294"/>
      <c r="HU294"/>
      <c r="HV294"/>
      <c r="HW294"/>
      <c r="HX294"/>
      <c r="HY294"/>
      <c r="HZ294"/>
      <c r="IA294"/>
      <c r="IB294"/>
      <c r="IC294"/>
      <c r="ID294"/>
      <c r="IE294"/>
      <c r="IF294"/>
      <c r="IG294"/>
      <c r="IH294"/>
      <c r="II294"/>
      <c r="IJ294"/>
      <c r="IK294"/>
      <c r="IL294"/>
      <c r="IM294"/>
      <c r="IN294"/>
      <c r="IO294"/>
      <c r="IP294"/>
      <c r="IQ294"/>
      <c r="IR294"/>
      <c r="IS294"/>
      <c r="IT294"/>
      <c r="IU294"/>
      <c r="IV294"/>
      <c r="IW294"/>
      <c r="IX294"/>
      <c r="IY294"/>
      <c r="IZ294"/>
      <c r="JA294"/>
      <c r="JB294"/>
      <c r="JC294"/>
      <c r="JD294"/>
      <c r="JE294"/>
      <c r="JF294"/>
      <c r="JG294"/>
      <c r="JH294"/>
      <c r="JI294"/>
      <c r="JJ294"/>
      <c r="JK294"/>
      <c r="JL294"/>
      <c r="JM294"/>
      <c r="JN294"/>
      <c r="JO294"/>
      <c r="JP294"/>
      <c r="JQ294"/>
      <c r="JR294"/>
      <c r="JS294"/>
      <c r="JT294"/>
      <c r="JU294"/>
      <c r="JV294"/>
      <c r="JW294"/>
      <c r="JX294"/>
      <c r="JY294"/>
      <c r="JZ294"/>
      <c r="KA294"/>
      <c r="KB294"/>
      <c r="KC294"/>
      <c r="KD294"/>
      <c r="KE294"/>
      <c r="KF294"/>
      <c r="KG294"/>
      <c r="KH294"/>
      <c r="KI294"/>
      <c r="KJ294"/>
      <c r="KK294"/>
      <c r="KL294"/>
      <c r="KM294"/>
      <c r="KN294"/>
      <c r="KO294"/>
      <c r="KP294"/>
      <c r="KQ294"/>
      <c r="KR294"/>
      <c r="KS294"/>
    </row>
    <row r="295" spans="2:305" hidden="1" x14ac:dyDescent="0.2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c r="EZ295"/>
      <c r="FA295"/>
      <c r="FB295"/>
      <c r="FC295"/>
      <c r="FD295"/>
      <c r="FE295"/>
      <c r="FF295"/>
      <c r="FG295"/>
      <c r="FH295"/>
      <c r="FI295"/>
      <c r="FJ295"/>
      <c r="FK295"/>
      <c r="FL295"/>
      <c r="FM295"/>
      <c r="FN295"/>
      <c r="FO295"/>
      <c r="FP295"/>
      <c r="FQ295"/>
      <c r="FR295"/>
      <c r="FS295"/>
      <c r="FT295"/>
      <c r="FU295"/>
      <c r="FV295"/>
      <c r="FW295"/>
      <c r="FX295"/>
      <c r="FY295"/>
      <c r="FZ295"/>
      <c r="GA295"/>
      <c r="GB295"/>
      <c r="GC295"/>
      <c r="GD295"/>
      <c r="GE295"/>
      <c r="GF295"/>
      <c r="GG295"/>
      <c r="GH295"/>
      <c r="GI295"/>
      <c r="GJ295"/>
      <c r="GK295"/>
      <c r="GL295"/>
      <c r="GM295"/>
      <c r="GN295"/>
      <c r="GO295"/>
      <c r="GP295"/>
      <c r="GQ295"/>
      <c r="GR295"/>
      <c r="GS295"/>
      <c r="GT295"/>
      <c r="GU295"/>
      <c r="GV295"/>
      <c r="GW295"/>
      <c r="GX295"/>
      <c r="GY295"/>
      <c r="GZ295"/>
      <c r="HA295"/>
      <c r="HB295"/>
      <c r="HC295"/>
      <c r="HD295"/>
      <c r="HE295"/>
      <c r="HF295"/>
      <c r="HG295"/>
      <c r="HH295"/>
      <c r="HI295"/>
      <c r="HJ295"/>
      <c r="HK295"/>
      <c r="HL295"/>
      <c r="HM295"/>
      <c r="HN295"/>
      <c r="HO295"/>
      <c r="HP295"/>
      <c r="HQ295"/>
      <c r="HR295"/>
      <c r="HS295"/>
      <c r="HT295"/>
      <c r="HU295"/>
      <c r="HV295"/>
      <c r="HW295"/>
      <c r="HX295"/>
      <c r="HY295"/>
      <c r="HZ295"/>
      <c r="IA295"/>
      <c r="IB295"/>
      <c r="IC295"/>
      <c r="ID295"/>
      <c r="IE295"/>
      <c r="IF295"/>
      <c r="IG295"/>
      <c r="IH295"/>
      <c r="II295"/>
      <c r="IJ295"/>
      <c r="IK295"/>
      <c r="IL295"/>
      <c r="IM295"/>
      <c r="IN295"/>
      <c r="IO295"/>
      <c r="IP295"/>
      <c r="IQ295"/>
      <c r="IR295"/>
      <c r="IS295"/>
      <c r="IT295"/>
      <c r="IU295"/>
      <c r="IV295"/>
      <c r="IW295"/>
      <c r="IX295"/>
      <c r="IY295"/>
      <c r="IZ295"/>
      <c r="JA295"/>
      <c r="JB295"/>
      <c r="JC295"/>
      <c r="JD295"/>
      <c r="JE295"/>
      <c r="JF295"/>
      <c r="JG295"/>
      <c r="JH295"/>
      <c r="JI295"/>
      <c r="JJ295"/>
      <c r="JK295"/>
      <c r="JL295"/>
      <c r="JM295"/>
      <c r="JN295"/>
      <c r="JO295"/>
      <c r="JP295"/>
      <c r="JQ295"/>
      <c r="JR295"/>
      <c r="JS295"/>
      <c r="JT295"/>
      <c r="JU295"/>
      <c r="JV295"/>
      <c r="JW295"/>
      <c r="JX295"/>
      <c r="JY295"/>
      <c r="JZ295"/>
      <c r="KA295"/>
      <c r="KB295"/>
      <c r="KC295"/>
      <c r="KD295"/>
      <c r="KE295"/>
      <c r="KF295"/>
      <c r="KG295"/>
      <c r="KH295"/>
      <c r="KI295"/>
      <c r="KJ295"/>
      <c r="KK295"/>
      <c r="KL295"/>
      <c r="KM295"/>
      <c r="KN295"/>
      <c r="KO295"/>
      <c r="KP295"/>
      <c r="KQ295"/>
      <c r="KR295"/>
      <c r="KS295"/>
    </row>
    <row r="296" spans="2:305" hidden="1" x14ac:dyDescent="0.25">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c r="EZ296"/>
      <c r="FA296"/>
      <c r="FB296"/>
      <c r="FC296"/>
      <c r="FD296"/>
      <c r="FE296"/>
      <c r="FF296"/>
      <c r="FG296"/>
      <c r="FH296"/>
      <c r="FI296"/>
      <c r="FJ296"/>
      <c r="FK296"/>
      <c r="FL296"/>
      <c r="FM296"/>
      <c r="FN296"/>
      <c r="FO296"/>
      <c r="FP296"/>
      <c r="FQ296"/>
      <c r="FR296"/>
      <c r="FS296"/>
      <c r="FT296"/>
      <c r="FU296"/>
      <c r="FV296"/>
      <c r="FW296"/>
      <c r="FX296"/>
      <c r="FY296"/>
      <c r="FZ296"/>
      <c r="GA296"/>
      <c r="GB296"/>
      <c r="GC296"/>
      <c r="GD296"/>
      <c r="GE296"/>
      <c r="GF296"/>
      <c r="GG296"/>
      <c r="GH296"/>
      <c r="GI296"/>
      <c r="GJ296"/>
      <c r="GK296"/>
      <c r="GL296"/>
      <c r="GM296"/>
      <c r="GN296"/>
      <c r="GO296"/>
      <c r="GP296"/>
      <c r="GQ296"/>
      <c r="GR296"/>
      <c r="GS296"/>
      <c r="GT296"/>
      <c r="GU296"/>
      <c r="GV296"/>
      <c r="GW296"/>
      <c r="GX296"/>
      <c r="GY296"/>
      <c r="GZ296"/>
      <c r="HA296"/>
      <c r="HB296"/>
      <c r="HC296"/>
      <c r="HD296"/>
      <c r="HE296"/>
      <c r="HF296"/>
      <c r="HG296"/>
      <c r="HH296"/>
      <c r="HI296"/>
      <c r="HJ296"/>
      <c r="HK296"/>
      <c r="HL296"/>
      <c r="HM296"/>
      <c r="HN296"/>
      <c r="HO296"/>
      <c r="HP296"/>
      <c r="HQ296"/>
      <c r="HR296"/>
      <c r="HS296"/>
      <c r="HT296"/>
      <c r="HU296"/>
      <c r="HV296"/>
      <c r="HW296"/>
      <c r="HX296"/>
      <c r="HY296"/>
      <c r="HZ296"/>
      <c r="IA296"/>
      <c r="IB296"/>
      <c r="IC296"/>
      <c r="ID296"/>
      <c r="IE296"/>
      <c r="IF296"/>
      <c r="IG296"/>
      <c r="IH296"/>
      <c r="II296"/>
      <c r="IJ296"/>
      <c r="IK296"/>
      <c r="IL296"/>
      <c r="IM296"/>
      <c r="IN296"/>
      <c r="IO296"/>
      <c r="IP296"/>
      <c r="IQ296"/>
      <c r="IR296"/>
      <c r="IS296"/>
      <c r="IT296"/>
      <c r="IU296"/>
      <c r="IV296"/>
      <c r="IW296"/>
      <c r="IX296"/>
      <c r="IY296"/>
      <c r="IZ296"/>
      <c r="JA296"/>
      <c r="JB296"/>
      <c r="JC296"/>
      <c r="JD296"/>
      <c r="JE296"/>
      <c r="JF296"/>
      <c r="JG296"/>
      <c r="JH296"/>
      <c r="JI296"/>
      <c r="JJ296"/>
      <c r="JK296"/>
      <c r="JL296"/>
      <c r="JM296"/>
      <c r="JN296"/>
      <c r="JO296"/>
      <c r="JP296"/>
      <c r="JQ296"/>
      <c r="JR296"/>
      <c r="JS296"/>
      <c r="JT296"/>
      <c r="JU296"/>
      <c r="JV296"/>
      <c r="JW296"/>
      <c r="JX296"/>
      <c r="JY296"/>
      <c r="JZ296"/>
      <c r="KA296"/>
      <c r="KB296"/>
      <c r="KC296"/>
      <c r="KD296"/>
      <c r="KE296"/>
      <c r="KF296"/>
      <c r="KG296"/>
      <c r="KH296"/>
      <c r="KI296"/>
      <c r="KJ296"/>
      <c r="KK296"/>
      <c r="KL296"/>
      <c r="KM296"/>
      <c r="KN296"/>
      <c r="KO296"/>
      <c r="KP296"/>
      <c r="KQ296"/>
      <c r="KR296"/>
      <c r="KS296"/>
    </row>
    <row r="297" spans="2:305" hidden="1" x14ac:dyDescent="0.25">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ER297"/>
      <c r="ES297"/>
      <c r="ET297"/>
      <c r="EU297"/>
      <c r="EV297"/>
      <c r="EW297"/>
      <c r="EX297"/>
      <c r="EY297"/>
      <c r="EZ297"/>
      <c r="FA297"/>
      <c r="FB297"/>
      <c r="FC297"/>
      <c r="FD297"/>
      <c r="FE297"/>
      <c r="FF297"/>
      <c r="FG297"/>
      <c r="FH297"/>
      <c r="FI297"/>
      <c r="FJ297"/>
      <c r="FK297"/>
      <c r="FL297"/>
      <c r="FM297"/>
      <c r="FN297"/>
      <c r="FO297"/>
      <c r="FP297"/>
      <c r="FQ297"/>
      <c r="FR297"/>
      <c r="FS297"/>
      <c r="FT297"/>
      <c r="FU297"/>
      <c r="FV297"/>
      <c r="FW297"/>
      <c r="FX297"/>
      <c r="FY297"/>
      <c r="FZ297"/>
      <c r="GA297"/>
      <c r="GB297"/>
      <c r="GC297"/>
      <c r="GD297"/>
      <c r="GE297"/>
      <c r="GF297"/>
      <c r="GG297"/>
      <c r="GH297"/>
      <c r="GI297"/>
      <c r="GJ297"/>
      <c r="GK297"/>
      <c r="GL297"/>
      <c r="GM297"/>
      <c r="GN297"/>
      <c r="GO297"/>
      <c r="GP297"/>
      <c r="GQ297"/>
      <c r="GR297"/>
      <c r="GS297"/>
      <c r="GT297"/>
      <c r="GU297"/>
      <c r="GV297"/>
      <c r="GW297"/>
      <c r="GX297"/>
      <c r="GY297"/>
      <c r="GZ297"/>
      <c r="HA297"/>
      <c r="HB297"/>
      <c r="HC297"/>
      <c r="HD297"/>
      <c r="HE297"/>
      <c r="HF297"/>
      <c r="HG297"/>
      <c r="HH297"/>
      <c r="HI297"/>
      <c r="HJ297"/>
      <c r="HK297"/>
      <c r="HL297"/>
      <c r="HM297"/>
      <c r="HN297"/>
      <c r="HO297"/>
      <c r="HP297"/>
      <c r="HQ297"/>
      <c r="HR297"/>
      <c r="HS297"/>
      <c r="HT297"/>
      <c r="HU297"/>
      <c r="HV297"/>
      <c r="HW297"/>
      <c r="HX297"/>
      <c r="HY297"/>
      <c r="HZ297"/>
      <c r="IA297"/>
      <c r="IB297"/>
      <c r="IC297"/>
      <c r="ID297"/>
      <c r="IE297"/>
      <c r="IF297"/>
      <c r="IG297"/>
      <c r="IH297"/>
      <c r="II297"/>
      <c r="IJ297"/>
      <c r="IK297"/>
      <c r="IL297"/>
      <c r="IM297"/>
      <c r="IN297"/>
      <c r="IO297"/>
      <c r="IP297"/>
      <c r="IQ297"/>
      <c r="IR297"/>
      <c r="IS297"/>
      <c r="IT297"/>
      <c r="IU297"/>
      <c r="IV297"/>
      <c r="IW297"/>
      <c r="IX297"/>
      <c r="IY297"/>
      <c r="IZ297"/>
      <c r="JA297"/>
      <c r="JB297"/>
      <c r="JC297"/>
      <c r="JD297"/>
      <c r="JE297"/>
      <c r="JF297"/>
      <c r="JG297"/>
      <c r="JH297"/>
      <c r="JI297"/>
      <c r="JJ297"/>
      <c r="JK297"/>
      <c r="JL297"/>
      <c r="JM297"/>
      <c r="JN297"/>
      <c r="JO297"/>
      <c r="JP297"/>
      <c r="JQ297"/>
      <c r="JR297"/>
      <c r="JS297"/>
      <c r="JT297"/>
      <c r="JU297"/>
      <c r="JV297"/>
      <c r="JW297"/>
      <c r="JX297"/>
      <c r="JY297"/>
      <c r="JZ297"/>
      <c r="KA297"/>
      <c r="KB297"/>
      <c r="KC297"/>
      <c r="KD297"/>
      <c r="KE297"/>
      <c r="KF297"/>
      <c r="KG297"/>
      <c r="KH297"/>
      <c r="KI297"/>
      <c r="KJ297"/>
      <c r="KK297"/>
      <c r="KL297"/>
      <c r="KM297"/>
      <c r="KN297"/>
      <c r="KO297"/>
      <c r="KP297"/>
      <c r="KQ297"/>
      <c r="KR297"/>
      <c r="KS297"/>
    </row>
    <row r="298" spans="2:305" hidden="1" x14ac:dyDescent="0.25">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c r="EZ298"/>
      <c r="FA298"/>
      <c r="FB298"/>
      <c r="FC298"/>
      <c r="FD298"/>
      <c r="FE298"/>
      <c r="FF298"/>
      <c r="FG298"/>
      <c r="FH298"/>
      <c r="FI298"/>
      <c r="FJ298"/>
      <c r="FK298"/>
      <c r="FL298"/>
      <c r="FM298"/>
      <c r="FN298"/>
      <c r="FO298"/>
      <c r="FP298"/>
      <c r="FQ298"/>
      <c r="FR298"/>
      <c r="FS298"/>
      <c r="FT298"/>
      <c r="FU298"/>
      <c r="FV298"/>
      <c r="FW298"/>
      <c r="FX298"/>
      <c r="FY298"/>
      <c r="FZ298"/>
      <c r="GA298"/>
      <c r="GB298"/>
      <c r="GC298"/>
      <c r="GD298"/>
      <c r="GE298"/>
      <c r="GF298"/>
      <c r="GG298"/>
      <c r="GH298"/>
      <c r="GI298"/>
      <c r="GJ298"/>
      <c r="GK298"/>
      <c r="GL298"/>
      <c r="GM298"/>
      <c r="GN298"/>
      <c r="GO298"/>
      <c r="GP298"/>
      <c r="GQ298"/>
      <c r="GR298"/>
      <c r="GS298"/>
      <c r="GT298"/>
      <c r="GU298"/>
      <c r="GV298"/>
      <c r="GW298"/>
      <c r="GX298"/>
      <c r="GY298"/>
      <c r="GZ298"/>
      <c r="HA298"/>
      <c r="HB298"/>
      <c r="HC298"/>
      <c r="HD298"/>
      <c r="HE298"/>
      <c r="HF298"/>
      <c r="HG298"/>
      <c r="HH298"/>
      <c r="HI298"/>
      <c r="HJ298"/>
      <c r="HK298"/>
      <c r="HL298"/>
      <c r="HM298"/>
      <c r="HN298"/>
      <c r="HO298"/>
      <c r="HP298"/>
      <c r="HQ298"/>
      <c r="HR298"/>
      <c r="HS298"/>
      <c r="HT298"/>
      <c r="HU298"/>
      <c r="HV298"/>
      <c r="HW298"/>
      <c r="HX298"/>
      <c r="HY298"/>
      <c r="HZ298"/>
      <c r="IA298"/>
      <c r="IB298"/>
      <c r="IC298"/>
      <c r="ID298"/>
      <c r="IE298"/>
      <c r="IF298"/>
      <c r="IG298"/>
      <c r="IH298"/>
      <c r="II298"/>
      <c r="IJ298"/>
      <c r="IK298"/>
      <c r="IL298"/>
      <c r="IM298"/>
      <c r="IN298"/>
      <c r="IO298"/>
      <c r="IP298"/>
      <c r="IQ298"/>
      <c r="IR298"/>
      <c r="IS298"/>
      <c r="IT298"/>
      <c r="IU298"/>
      <c r="IV298"/>
      <c r="IW298"/>
      <c r="IX298"/>
      <c r="IY298"/>
      <c r="IZ298"/>
      <c r="JA298"/>
      <c r="JB298"/>
      <c r="JC298"/>
      <c r="JD298"/>
      <c r="JE298"/>
      <c r="JF298"/>
      <c r="JG298"/>
      <c r="JH298"/>
      <c r="JI298"/>
      <c r="JJ298"/>
      <c r="JK298"/>
      <c r="JL298"/>
      <c r="JM298"/>
      <c r="JN298"/>
      <c r="JO298"/>
      <c r="JP298"/>
      <c r="JQ298"/>
      <c r="JR298"/>
      <c r="JS298"/>
      <c r="JT298"/>
      <c r="JU298"/>
      <c r="JV298"/>
      <c r="JW298"/>
      <c r="JX298"/>
      <c r="JY298"/>
      <c r="JZ298"/>
      <c r="KA298"/>
      <c r="KB298"/>
      <c r="KC298"/>
      <c r="KD298"/>
      <c r="KE298"/>
      <c r="KF298"/>
      <c r="KG298"/>
      <c r="KH298"/>
      <c r="KI298"/>
      <c r="KJ298"/>
      <c r="KK298"/>
      <c r="KL298"/>
      <c r="KM298"/>
      <c r="KN298"/>
      <c r="KO298"/>
      <c r="KP298"/>
      <c r="KQ298"/>
      <c r="KR298"/>
      <c r="KS298"/>
    </row>
    <row r="299" spans="2:305" hidden="1" x14ac:dyDescent="0.25">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c r="EZ299"/>
      <c r="FA299"/>
      <c r="FB299"/>
      <c r="FC299"/>
      <c r="FD299"/>
      <c r="FE299"/>
      <c r="FF299"/>
      <c r="FG299"/>
      <c r="FH299"/>
      <c r="FI299"/>
      <c r="FJ299"/>
      <c r="FK299"/>
      <c r="FL299"/>
      <c r="FM299"/>
      <c r="FN299"/>
      <c r="FO299"/>
      <c r="FP299"/>
      <c r="FQ299"/>
      <c r="FR299"/>
      <c r="FS299"/>
      <c r="FT299"/>
      <c r="FU299"/>
      <c r="FV299"/>
      <c r="FW299"/>
      <c r="FX299"/>
      <c r="FY299"/>
      <c r="FZ299"/>
      <c r="GA299"/>
      <c r="GB299"/>
      <c r="GC299"/>
      <c r="GD299"/>
      <c r="GE299"/>
      <c r="GF299"/>
      <c r="GG299"/>
      <c r="GH299"/>
      <c r="GI299"/>
      <c r="GJ299"/>
      <c r="GK299"/>
      <c r="GL299"/>
      <c r="GM299"/>
      <c r="GN299"/>
      <c r="GO299"/>
      <c r="GP299"/>
      <c r="GQ299"/>
      <c r="GR299"/>
      <c r="GS299"/>
      <c r="GT299"/>
      <c r="GU299"/>
      <c r="GV299"/>
      <c r="GW299"/>
      <c r="GX299"/>
      <c r="GY299"/>
      <c r="GZ299"/>
      <c r="HA299"/>
      <c r="HB299"/>
      <c r="HC299"/>
      <c r="HD299"/>
      <c r="HE299"/>
      <c r="HF299"/>
      <c r="HG299"/>
      <c r="HH299"/>
      <c r="HI299"/>
      <c r="HJ299"/>
      <c r="HK299"/>
      <c r="HL299"/>
      <c r="HM299"/>
      <c r="HN299"/>
      <c r="HO299"/>
      <c r="HP299"/>
      <c r="HQ299"/>
      <c r="HR299"/>
      <c r="HS299"/>
      <c r="HT299"/>
      <c r="HU299"/>
      <c r="HV299"/>
      <c r="HW299"/>
      <c r="HX299"/>
      <c r="HY299"/>
      <c r="HZ299"/>
      <c r="IA299"/>
      <c r="IB299"/>
      <c r="IC299"/>
      <c r="ID299"/>
      <c r="IE299"/>
      <c r="IF299"/>
      <c r="IG299"/>
      <c r="IH299"/>
      <c r="II299"/>
      <c r="IJ299"/>
      <c r="IK299"/>
      <c r="IL299"/>
      <c r="IM299"/>
      <c r="IN299"/>
      <c r="IO299"/>
      <c r="IP299"/>
      <c r="IQ299"/>
      <c r="IR299"/>
      <c r="IS299"/>
      <c r="IT299"/>
      <c r="IU299"/>
      <c r="IV299"/>
      <c r="IW299"/>
      <c r="IX299"/>
      <c r="IY299"/>
      <c r="IZ299"/>
      <c r="JA299"/>
      <c r="JB299"/>
      <c r="JC299"/>
      <c r="JD299"/>
      <c r="JE299"/>
      <c r="JF299"/>
      <c r="JG299"/>
      <c r="JH299"/>
      <c r="JI299"/>
      <c r="JJ299"/>
      <c r="JK299"/>
      <c r="JL299"/>
      <c r="JM299"/>
      <c r="JN299"/>
      <c r="JO299"/>
      <c r="JP299"/>
      <c r="JQ299"/>
      <c r="JR299"/>
      <c r="JS299"/>
      <c r="JT299"/>
      <c r="JU299"/>
      <c r="JV299"/>
      <c r="JW299"/>
      <c r="JX299"/>
      <c r="JY299"/>
      <c r="JZ299"/>
      <c r="KA299"/>
      <c r="KB299"/>
      <c r="KC299"/>
      <c r="KD299"/>
      <c r="KE299"/>
      <c r="KF299"/>
      <c r="KG299"/>
      <c r="KH299"/>
      <c r="KI299"/>
      <c r="KJ299"/>
      <c r="KK299"/>
      <c r="KL299"/>
      <c r="KM299"/>
      <c r="KN299"/>
      <c r="KO299"/>
      <c r="KP299"/>
      <c r="KQ299"/>
      <c r="KR299"/>
      <c r="KS299"/>
    </row>
    <row r="300" spans="2:305" hidden="1" x14ac:dyDescent="0.25">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c r="EZ300"/>
      <c r="FA300"/>
      <c r="FB300"/>
      <c r="FC300"/>
      <c r="FD300"/>
      <c r="FE300"/>
      <c r="FF300"/>
      <c r="FG300"/>
      <c r="FH300"/>
      <c r="FI300"/>
      <c r="FJ300"/>
      <c r="FK300"/>
      <c r="FL300"/>
      <c r="FM300"/>
      <c r="FN300"/>
      <c r="FO300"/>
      <c r="FP300"/>
      <c r="FQ300"/>
      <c r="FR300"/>
      <c r="FS300"/>
      <c r="FT300"/>
      <c r="FU300"/>
      <c r="FV300"/>
      <c r="FW300"/>
      <c r="FX300"/>
      <c r="FY300"/>
      <c r="FZ300"/>
      <c r="GA300"/>
      <c r="GB300"/>
      <c r="GC300"/>
      <c r="GD300"/>
      <c r="GE300"/>
      <c r="GF300"/>
      <c r="GG300"/>
      <c r="GH300"/>
      <c r="GI300"/>
      <c r="GJ300"/>
      <c r="GK300"/>
      <c r="GL300"/>
      <c r="GM300"/>
      <c r="GN300"/>
      <c r="GO300"/>
      <c r="GP300"/>
      <c r="GQ300"/>
      <c r="GR300"/>
      <c r="GS300"/>
      <c r="GT300"/>
      <c r="GU300"/>
      <c r="GV300"/>
      <c r="GW300"/>
      <c r="GX300"/>
      <c r="GY300"/>
      <c r="GZ300"/>
      <c r="HA300"/>
      <c r="HB300"/>
      <c r="HC300"/>
      <c r="HD300"/>
      <c r="HE300"/>
      <c r="HF300"/>
      <c r="HG300"/>
      <c r="HH300"/>
      <c r="HI300"/>
      <c r="HJ300"/>
      <c r="HK300"/>
      <c r="HL300"/>
      <c r="HM300"/>
      <c r="HN300"/>
      <c r="HO300"/>
      <c r="HP300"/>
      <c r="HQ300"/>
      <c r="HR300"/>
      <c r="HS300"/>
      <c r="HT300"/>
      <c r="HU300"/>
      <c r="HV300"/>
      <c r="HW300"/>
      <c r="HX300"/>
      <c r="HY300"/>
      <c r="HZ300"/>
      <c r="IA300"/>
      <c r="IB300"/>
      <c r="IC300"/>
      <c r="ID300"/>
      <c r="IE300"/>
      <c r="IF300"/>
      <c r="IG300"/>
      <c r="IH300"/>
      <c r="II300"/>
      <c r="IJ300"/>
      <c r="IK300"/>
      <c r="IL300"/>
      <c r="IM300"/>
      <c r="IN300"/>
      <c r="IO300"/>
      <c r="IP300"/>
      <c r="IQ300"/>
      <c r="IR300"/>
      <c r="IS300"/>
      <c r="IT300"/>
      <c r="IU300"/>
      <c r="IV300"/>
      <c r="IW300"/>
      <c r="IX300"/>
      <c r="IY300"/>
      <c r="IZ300"/>
      <c r="JA300"/>
      <c r="JB300"/>
      <c r="JC300"/>
      <c r="JD300"/>
      <c r="JE300"/>
      <c r="JF300"/>
      <c r="JG300"/>
      <c r="JH300"/>
      <c r="JI300"/>
      <c r="JJ300"/>
      <c r="JK300"/>
      <c r="JL300"/>
      <c r="JM300"/>
      <c r="JN300"/>
      <c r="JO300"/>
      <c r="JP300"/>
      <c r="JQ300"/>
      <c r="JR300"/>
      <c r="JS300"/>
      <c r="JT300"/>
      <c r="JU300"/>
      <c r="JV300"/>
      <c r="JW300"/>
      <c r="JX300"/>
      <c r="JY300"/>
      <c r="JZ300"/>
      <c r="KA300"/>
      <c r="KB300"/>
      <c r="KC300"/>
      <c r="KD300"/>
      <c r="KE300"/>
      <c r="KF300"/>
      <c r="KG300"/>
      <c r="KH300"/>
      <c r="KI300"/>
      <c r="KJ300"/>
      <c r="KK300"/>
      <c r="KL300"/>
      <c r="KM300"/>
      <c r="KN300"/>
      <c r="KO300"/>
      <c r="KP300"/>
      <c r="KQ300"/>
      <c r="KR300"/>
      <c r="KS300"/>
    </row>
    <row r="301" spans="2:305" hidden="1" x14ac:dyDescent="0.25">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c r="EZ301"/>
      <c r="FA301"/>
      <c r="FB301"/>
      <c r="FC301"/>
      <c r="FD301"/>
      <c r="FE301"/>
      <c r="FF301"/>
      <c r="FG301"/>
      <c r="FH301"/>
      <c r="FI301"/>
      <c r="FJ301"/>
      <c r="FK301"/>
      <c r="FL301"/>
      <c r="FM301"/>
      <c r="FN301"/>
      <c r="FO301"/>
      <c r="FP301"/>
      <c r="FQ301"/>
      <c r="FR301"/>
      <c r="FS301"/>
      <c r="FT301"/>
      <c r="FU301"/>
      <c r="FV301"/>
      <c r="FW301"/>
      <c r="FX301"/>
      <c r="FY301"/>
      <c r="FZ301"/>
      <c r="GA301"/>
      <c r="GB301"/>
      <c r="GC301"/>
      <c r="GD301"/>
      <c r="GE301"/>
      <c r="GF301"/>
      <c r="GG301"/>
      <c r="GH301"/>
      <c r="GI301"/>
      <c r="GJ301"/>
      <c r="GK301"/>
      <c r="GL301"/>
      <c r="GM301"/>
      <c r="GN301"/>
      <c r="GO301"/>
      <c r="GP301"/>
      <c r="GQ301"/>
      <c r="GR301"/>
      <c r="GS301"/>
      <c r="GT301"/>
      <c r="GU301"/>
      <c r="GV301"/>
      <c r="GW301"/>
      <c r="GX301"/>
      <c r="GY301"/>
      <c r="GZ301"/>
      <c r="HA301"/>
      <c r="HB301"/>
      <c r="HC301"/>
      <c r="HD301"/>
      <c r="HE301"/>
      <c r="HF301"/>
      <c r="HG301"/>
      <c r="HH301"/>
      <c r="HI301"/>
      <c r="HJ301"/>
      <c r="HK301"/>
      <c r="HL301"/>
      <c r="HM301"/>
      <c r="HN301"/>
      <c r="HO301"/>
      <c r="HP301"/>
      <c r="HQ301"/>
      <c r="HR301"/>
      <c r="HS301"/>
      <c r="HT301"/>
      <c r="HU301"/>
      <c r="HV301"/>
      <c r="HW301"/>
      <c r="HX301"/>
      <c r="HY301"/>
      <c r="HZ301"/>
      <c r="IA301"/>
      <c r="IB301"/>
      <c r="IC301"/>
      <c r="ID301"/>
      <c r="IE301"/>
      <c r="IF301"/>
      <c r="IG301"/>
      <c r="IH301"/>
      <c r="II301"/>
      <c r="IJ301"/>
      <c r="IK301"/>
      <c r="IL301"/>
      <c r="IM301"/>
      <c r="IN301"/>
      <c r="IO301"/>
      <c r="IP301"/>
      <c r="IQ301"/>
      <c r="IR301"/>
      <c r="IS301"/>
      <c r="IT301"/>
      <c r="IU301"/>
      <c r="IV301"/>
      <c r="IW301"/>
      <c r="IX301"/>
      <c r="IY301"/>
      <c r="IZ301"/>
      <c r="JA301"/>
      <c r="JB301"/>
      <c r="JC301"/>
      <c r="JD301"/>
      <c r="JE301"/>
      <c r="JF301"/>
      <c r="JG301"/>
      <c r="JH301"/>
      <c r="JI301"/>
      <c r="JJ301"/>
      <c r="JK301"/>
      <c r="JL301"/>
      <c r="JM301"/>
      <c r="JN301"/>
      <c r="JO301"/>
      <c r="JP301"/>
      <c r="JQ301"/>
      <c r="JR301"/>
      <c r="JS301"/>
      <c r="JT301"/>
      <c r="JU301"/>
      <c r="JV301"/>
      <c r="JW301"/>
      <c r="JX301"/>
      <c r="JY301"/>
      <c r="JZ301"/>
      <c r="KA301"/>
      <c r="KB301"/>
      <c r="KC301"/>
      <c r="KD301"/>
      <c r="KE301"/>
      <c r="KF301"/>
      <c r="KG301"/>
      <c r="KH301"/>
      <c r="KI301"/>
      <c r="KJ301"/>
      <c r="KK301"/>
      <c r="KL301"/>
      <c r="KM301"/>
      <c r="KN301"/>
      <c r="KO301"/>
      <c r="KP301"/>
      <c r="KQ301"/>
      <c r="KR301"/>
      <c r="KS301"/>
    </row>
    <row r="302" spans="2:305" hidden="1" x14ac:dyDescent="0.25">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ER302"/>
      <c r="ES302"/>
      <c r="ET302"/>
      <c r="EU302"/>
      <c r="EV302"/>
      <c r="EW302"/>
      <c r="EX302"/>
      <c r="EY302"/>
      <c r="EZ302"/>
      <c r="FA302"/>
      <c r="FB302"/>
      <c r="FC302"/>
      <c r="FD302"/>
      <c r="FE302"/>
      <c r="FF302"/>
      <c r="FG302"/>
      <c r="FH302"/>
      <c r="FI302"/>
      <c r="FJ302"/>
      <c r="FK302"/>
      <c r="FL302"/>
      <c r="FM302"/>
      <c r="FN302"/>
      <c r="FO302"/>
      <c r="FP302"/>
      <c r="FQ302"/>
      <c r="FR302"/>
      <c r="FS302"/>
      <c r="FT302"/>
      <c r="FU302"/>
      <c r="FV302"/>
      <c r="FW302"/>
      <c r="FX302"/>
      <c r="FY302"/>
      <c r="FZ302"/>
      <c r="GA302"/>
      <c r="GB302"/>
      <c r="GC302"/>
      <c r="GD302"/>
      <c r="GE302"/>
      <c r="GF302"/>
      <c r="GG302"/>
      <c r="GH302"/>
      <c r="GI302"/>
      <c r="GJ302"/>
      <c r="GK302"/>
      <c r="GL302"/>
      <c r="GM302"/>
      <c r="GN302"/>
      <c r="GO302"/>
      <c r="GP302"/>
      <c r="GQ302"/>
      <c r="GR302"/>
      <c r="GS302"/>
      <c r="GT302"/>
      <c r="GU302"/>
      <c r="GV302"/>
      <c r="GW302"/>
      <c r="GX302"/>
      <c r="GY302"/>
      <c r="GZ302"/>
      <c r="HA302"/>
      <c r="HB302"/>
      <c r="HC302"/>
      <c r="HD302"/>
      <c r="HE302"/>
      <c r="HF302"/>
      <c r="HG302"/>
      <c r="HH302"/>
      <c r="HI302"/>
      <c r="HJ302"/>
      <c r="HK302"/>
      <c r="HL302"/>
      <c r="HM302"/>
      <c r="HN302"/>
      <c r="HO302"/>
      <c r="HP302"/>
      <c r="HQ302"/>
      <c r="HR302"/>
      <c r="HS302"/>
      <c r="HT302"/>
      <c r="HU302"/>
      <c r="HV302"/>
      <c r="HW302"/>
      <c r="HX302"/>
      <c r="HY302"/>
      <c r="HZ302"/>
      <c r="IA302"/>
      <c r="IB302"/>
      <c r="IC302"/>
      <c r="ID302"/>
      <c r="IE302"/>
      <c r="IF302"/>
      <c r="IG302"/>
      <c r="IH302"/>
      <c r="II302"/>
      <c r="IJ302"/>
      <c r="IK302"/>
      <c r="IL302"/>
      <c r="IM302"/>
      <c r="IN302"/>
      <c r="IO302"/>
      <c r="IP302"/>
      <c r="IQ302"/>
      <c r="IR302"/>
      <c r="IS302"/>
      <c r="IT302"/>
      <c r="IU302"/>
      <c r="IV302"/>
      <c r="IW302"/>
      <c r="IX302"/>
      <c r="IY302"/>
      <c r="IZ302"/>
      <c r="JA302"/>
      <c r="JB302"/>
      <c r="JC302"/>
      <c r="JD302"/>
      <c r="JE302"/>
      <c r="JF302"/>
      <c r="JG302"/>
      <c r="JH302"/>
      <c r="JI302"/>
      <c r="JJ302"/>
      <c r="JK302"/>
      <c r="JL302"/>
      <c r="JM302"/>
      <c r="JN302"/>
      <c r="JO302"/>
      <c r="JP302"/>
      <c r="JQ302"/>
      <c r="JR302"/>
      <c r="JS302"/>
      <c r="JT302"/>
      <c r="JU302"/>
      <c r="JV302"/>
      <c r="JW302"/>
      <c r="JX302"/>
      <c r="JY302"/>
      <c r="JZ302"/>
      <c r="KA302"/>
      <c r="KB302"/>
      <c r="KC302"/>
      <c r="KD302"/>
      <c r="KE302"/>
      <c r="KF302"/>
      <c r="KG302"/>
      <c r="KH302"/>
      <c r="KI302"/>
      <c r="KJ302"/>
      <c r="KK302"/>
      <c r="KL302"/>
      <c r="KM302"/>
      <c r="KN302"/>
      <c r="KO302"/>
      <c r="KP302"/>
      <c r="KQ302"/>
      <c r="KR302"/>
      <c r="KS302"/>
    </row>
    <row r="303" spans="2:305" hidden="1" x14ac:dyDescent="0.25">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ER303"/>
      <c r="ES303"/>
      <c r="ET303"/>
      <c r="EU303"/>
      <c r="EV303"/>
      <c r="EW303"/>
      <c r="EX303"/>
      <c r="EY303"/>
      <c r="EZ303"/>
      <c r="FA303"/>
      <c r="FB303"/>
      <c r="FC303"/>
      <c r="FD303"/>
      <c r="FE303"/>
      <c r="FF303"/>
      <c r="FG303"/>
      <c r="FH303"/>
      <c r="FI303"/>
      <c r="FJ303"/>
      <c r="FK303"/>
      <c r="FL303"/>
      <c r="FM303"/>
      <c r="FN303"/>
      <c r="FO303"/>
      <c r="FP303"/>
      <c r="FQ303"/>
      <c r="FR303"/>
      <c r="FS303"/>
      <c r="FT303"/>
      <c r="FU303"/>
      <c r="FV303"/>
      <c r="FW303"/>
      <c r="FX303"/>
      <c r="FY303"/>
      <c r="FZ303"/>
      <c r="GA303"/>
      <c r="GB303"/>
      <c r="GC303"/>
      <c r="GD303"/>
      <c r="GE303"/>
      <c r="GF303"/>
      <c r="GG303"/>
      <c r="GH303"/>
      <c r="GI303"/>
      <c r="GJ303"/>
      <c r="GK303"/>
      <c r="GL303"/>
      <c r="GM303"/>
      <c r="GN303"/>
      <c r="GO303"/>
      <c r="GP303"/>
      <c r="GQ303"/>
      <c r="GR303"/>
      <c r="GS303"/>
      <c r="GT303"/>
      <c r="GU303"/>
      <c r="GV303"/>
      <c r="GW303"/>
      <c r="GX303"/>
      <c r="GY303"/>
      <c r="GZ303"/>
      <c r="HA303"/>
      <c r="HB303"/>
      <c r="HC303"/>
      <c r="HD303"/>
      <c r="HE303"/>
      <c r="HF303"/>
      <c r="HG303"/>
      <c r="HH303"/>
      <c r="HI303"/>
      <c r="HJ303"/>
      <c r="HK303"/>
      <c r="HL303"/>
      <c r="HM303"/>
      <c r="HN303"/>
      <c r="HO303"/>
      <c r="HP303"/>
      <c r="HQ303"/>
      <c r="HR303"/>
      <c r="HS303"/>
      <c r="HT303"/>
      <c r="HU303"/>
      <c r="HV303"/>
      <c r="HW303"/>
      <c r="HX303"/>
      <c r="HY303"/>
      <c r="HZ303"/>
      <c r="IA303"/>
      <c r="IB303"/>
      <c r="IC303"/>
      <c r="ID303"/>
      <c r="IE303"/>
      <c r="IF303"/>
      <c r="IG303"/>
      <c r="IH303"/>
      <c r="II303"/>
      <c r="IJ303"/>
      <c r="IK303"/>
      <c r="IL303"/>
      <c r="IM303"/>
      <c r="IN303"/>
      <c r="IO303"/>
      <c r="IP303"/>
      <c r="IQ303"/>
      <c r="IR303"/>
      <c r="IS303"/>
      <c r="IT303"/>
      <c r="IU303"/>
      <c r="IV303"/>
      <c r="IW303"/>
      <c r="IX303"/>
      <c r="IY303"/>
      <c r="IZ303"/>
      <c r="JA303"/>
      <c r="JB303"/>
      <c r="JC303"/>
      <c r="JD303"/>
      <c r="JE303"/>
      <c r="JF303"/>
      <c r="JG303"/>
      <c r="JH303"/>
      <c r="JI303"/>
      <c r="JJ303"/>
      <c r="JK303"/>
      <c r="JL303"/>
      <c r="JM303"/>
      <c r="JN303"/>
      <c r="JO303"/>
      <c r="JP303"/>
      <c r="JQ303"/>
      <c r="JR303"/>
      <c r="JS303"/>
      <c r="JT303"/>
      <c r="JU303"/>
      <c r="JV303"/>
      <c r="JW303"/>
      <c r="JX303"/>
      <c r="JY303"/>
      <c r="JZ303"/>
      <c r="KA303"/>
      <c r="KB303"/>
      <c r="KC303"/>
      <c r="KD303"/>
      <c r="KE303"/>
      <c r="KF303"/>
      <c r="KG303"/>
      <c r="KH303"/>
      <c r="KI303"/>
      <c r="KJ303"/>
      <c r="KK303"/>
      <c r="KL303"/>
      <c r="KM303"/>
      <c r="KN303"/>
      <c r="KO303"/>
      <c r="KP303"/>
      <c r="KQ303"/>
      <c r="KR303"/>
      <c r="KS303"/>
    </row>
    <row r="304" spans="2:305" hidden="1" x14ac:dyDescent="0.25">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c r="ER304"/>
      <c r="ES304"/>
      <c r="ET304"/>
      <c r="EU304"/>
      <c r="EV304"/>
      <c r="EW304"/>
      <c r="EX304"/>
      <c r="EY304"/>
      <c r="EZ304"/>
      <c r="FA304"/>
      <c r="FB304"/>
      <c r="FC304"/>
      <c r="FD304"/>
      <c r="FE304"/>
      <c r="FF304"/>
      <c r="FG304"/>
      <c r="FH304"/>
      <c r="FI304"/>
      <c r="FJ304"/>
      <c r="FK304"/>
      <c r="FL304"/>
      <c r="FM304"/>
      <c r="FN304"/>
      <c r="FO304"/>
      <c r="FP304"/>
      <c r="FQ304"/>
      <c r="FR304"/>
      <c r="FS304"/>
      <c r="FT304"/>
      <c r="FU304"/>
      <c r="FV304"/>
      <c r="FW304"/>
      <c r="FX304"/>
      <c r="FY304"/>
      <c r="FZ304"/>
      <c r="GA304"/>
      <c r="GB304"/>
      <c r="GC304"/>
      <c r="GD304"/>
      <c r="GE304"/>
      <c r="GF304"/>
      <c r="GG304"/>
      <c r="GH304"/>
      <c r="GI304"/>
      <c r="GJ304"/>
      <c r="GK304"/>
      <c r="GL304"/>
      <c r="GM304"/>
      <c r="GN304"/>
      <c r="GO304"/>
      <c r="GP304"/>
      <c r="GQ304"/>
      <c r="GR304"/>
      <c r="GS304"/>
      <c r="GT304"/>
      <c r="GU304"/>
      <c r="GV304"/>
      <c r="GW304"/>
      <c r="GX304"/>
      <c r="GY304"/>
      <c r="GZ304"/>
      <c r="HA304"/>
      <c r="HB304"/>
      <c r="HC304"/>
      <c r="HD304"/>
      <c r="HE304"/>
      <c r="HF304"/>
      <c r="HG304"/>
      <c r="HH304"/>
      <c r="HI304"/>
      <c r="HJ304"/>
      <c r="HK304"/>
      <c r="HL304"/>
      <c r="HM304"/>
      <c r="HN304"/>
      <c r="HO304"/>
      <c r="HP304"/>
      <c r="HQ304"/>
      <c r="HR304"/>
      <c r="HS304"/>
      <c r="HT304"/>
      <c r="HU304"/>
      <c r="HV304"/>
      <c r="HW304"/>
      <c r="HX304"/>
      <c r="HY304"/>
      <c r="HZ304"/>
      <c r="IA304"/>
      <c r="IB304"/>
      <c r="IC304"/>
      <c r="ID304"/>
      <c r="IE304"/>
      <c r="IF304"/>
      <c r="IG304"/>
      <c r="IH304"/>
      <c r="II304"/>
      <c r="IJ304"/>
      <c r="IK304"/>
      <c r="IL304"/>
      <c r="IM304"/>
      <c r="IN304"/>
      <c r="IO304"/>
      <c r="IP304"/>
      <c r="IQ304"/>
      <c r="IR304"/>
      <c r="IS304"/>
      <c r="IT304"/>
      <c r="IU304"/>
      <c r="IV304"/>
      <c r="IW304"/>
      <c r="IX304"/>
      <c r="IY304"/>
      <c r="IZ304"/>
      <c r="JA304"/>
      <c r="JB304"/>
      <c r="JC304"/>
      <c r="JD304"/>
      <c r="JE304"/>
      <c r="JF304"/>
      <c r="JG304"/>
      <c r="JH304"/>
      <c r="JI304"/>
      <c r="JJ304"/>
      <c r="JK304"/>
      <c r="JL304"/>
      <c r="JM304"/>
      <c r="JN304"/>
      <c r="JO304"/>
      <c r="JP304"/>
      <c r="JQ304"/>
      <c r="JR304"/>
      <c r="JS304"/>
      <c r="JT304"/>
      <c r="JU304"/>
      <c r="JV304"/>
      <c r="JW304"/>
      <c r="JX304"/>
      <c r="JY304"/>
      <c r="JZ304"/>
      <c r="KA304"/>
      <c r="KB304"/>
      <c r="KC304"/>
      <c r="KD304"/>
      <c r="KE304"/>
      <c r="KF304"/>
      <c r="KG304"/>
      <c r="KH304"/>
      <c r="KI304"/>
      <c r="KJ304"/>
      <c r="KK304"/>
      <c r="KL304"/>
      <c r="KM304"/>
      <c r="KN304"/>
      <c r="KO304"/>
      <c r="KP304"/>
      <c r="KQ304"/>
      <c r="KR304"/>
      <c r="KS304"/>
    </row>
    <row r="305" spans="2:305" hidden="1" x14ac:dyDescent="0.2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ER305"/>
      <c r="ES305"/>
      <c r="ET305"/>
      <c r="EU305"/>
      <c r="EV305"/>
      <c r="EW305"/>
      <c r="EX305"/>
      <c r="EY305"/>
      <c r="EZ305"/>
      <c r="FA305"/>
      <c r="FB305"/>
      <c r="FC305"/>
      <c r="FD305"/>
      <c r="FE305"/>
      <c r="FF305"/>
      <c r="FG305"/>
      <c r="FH305"/>
      <c r="FI305"/>
      <c r="FJ305"/>
      <c r="FK305"/>
      <c r="FL305"/>
      <c r="FM305"/>
      <c r="FN305"/>
      <c r="FO305"/>
      <c r="FP305"/>
      <c r="FQ305"/>
      <c r="FR305"/>
      <c r="FS305"/>
      <c r="FT305"/>
      <c r="FU305"/>
      <c r="FV305"/>
      <c r="FW305"/>
      <c r="FX305"/>
      <c r="FY305"/>
      <c r="FZ305"/>
      <c r="GA305"/>
      <c r="GB305"/>
      <c r="GC305"/>
      <c r="GD305"/>
      <c r="GE305"/>
      <c r="GF305"/>
      <c r="GG305"/>
      <c r="GH305"/>
      <c r="GI305"/>
      <c r="GJ305"/>
      <c r="GK305"/>
      <c r="GL305"/>
      <c r="GM305"/>
      <c r="GN305"/>
      <c r="GO305"/>
      <c r="GP305"/>
      <c r="GQ305"/>
      <c r="GR305"/>
      <c r="GS305"/>
      <c r="GT305"/>
      <c r="GU305"/>
      <c r="GV305"/>
      <c r="GW305"/>
      <c r="GX305"/>
      <c r="GY305"/>
      <c r="GZ305"/>
      <c r="HA305"/>
      <c r="HB305"/>
      <c r="HC305"/>
      <c r="HD305"/>
      <c r="HE305"/>
      <c r="HF305"/>
      <c r="HG305"/>
      <c r="HH305"/>
      <c r="HI305"/>
      <c r="HJ305"/>
      <c r="HK305"/>
      <c r="HL305"/>
      <c r="HM305"/>
      <c r="HN305"/>
      <c r="HO305"/>
      <c r="HP305"/>
      <c r="HQ305"/>
      <c r="HR305"/>
      <c r="HS305"/>
      <c r="HT305"/>
      <c r="HU305"/>
      <c r="HV305"/>
      <c r="HW305"/>
      <c r="HX305"/>
      <c r="HY305"/>
      <c r="HZ305"/>
      <c r="IA305"/>
      <c r="IB305"/>
      <c r="IC305"/>
      <c r="ID305"/>
      <c r="IE305"/>
      <c r="IF305"/>
      <c r="IG305"/>
      <c r="IH305"/>
      <c r="II305"/>
      <c r="IJ305"/>
      <c r="IK305"/>
      <c r="IL305"/>
      <c r="IM305"/>
      <c r="IN305"/>
      <c r="IO305"/>
      <c r="IP305"/>
      <c r="IQ305"/>
      <c r="IR305"/>
      <c r="IS305"/>
      <c r="IT305"/>
      <c r="IU305"/>
      <c r="IV305"/>
      <c r="IW305"/>
      <c r="IX305"/>
      <c r="IY305"/>
      <c r="IZ305"/>
      <c r="JA305"/>
      <c r="JB305"/>
      <c r="JC305"/>
      <c r="JD305"/>
      <c r="JE305"/>
      <c r="JF305"/>
      <c r="JG305"/>
      <c r="JH305"/>
      <c r="JI305"/>
      <c r="JJ305"/>
      <c r="JK305"/>
      <c r="JL305"/>
      <c r="JM305"/>
      <c r="JN305"/>
      <c r="JO305"/>
      <c r="JP305"/>
      <c r="JQ305"/>
      <c r="JR305"/>
      <c r="JS305"/>
      <c r="JT305"/>
      <c r="JU305"/>
      <c r="JV305"/>
      <c r="JW305"/>
      <c r="JX305"/>
      <c r="JY305"/>
      <c r="JZ305"/>
      <c r="KA305"/>
      <c r="KB305"/>
      <c r="KC305"/>
      <c r="KD305"/>
      <c r="KE305"/>
      <c r="KF305"/>
      <c r="KG305"/>
      <c r="KH305"/>
      <c r="KI305"/>
      <c r="KJ305"/>
      <c r="KK305"/>
      <c r="KL305"/>
      <c r="KM305"/>
      <c r="KN305"/>
      <c r="KO305"/>
      <c r="KP305"/>
      <c r="KQ305"/>
      <c r="KR305"/>
      <c r="KS305"/>
    </row>
    <row r="306" spans="2:305" hidden="1" x14ac:dyDescent="0.25">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ER306"/>
      <c r="ES306"/>
      <c r="ET306"/>
      <c r="EU306"/>
      <c r="EV306"/>
      <c r="EW306"/>
      <c r="EX306"/>
      <c r="EY306"/>
      <c r="EZ306"/>
      <c r="FA306"/>
      <c r="FB306"/>
      <c r="FC306"/>
      <c r="FD306"/>
      <c r="FE306"/>
      <c r="FF306"/>
      <c r="FG306"/>
      <c r="FH306"/>
      <c r="FI306"/>
      <c r="FJ306"/>
      <c r="FK306"/>
      <c r="FL306"/>
      <c r="FM306"/>
      <c r="FN306"/>
      <c r="FO306"/>
      <c r="FP306"/>
      <c r="FQ306"/>
      <c r="FR306"/>
      <c r="FS306"/>
      <c r="FT306"/>
      <c r="FU306"/>
      <c r="FV306"/>
      <c r="FW306"/>
      <c r="FX306"/>
      <c r="FY306"/>
      <c r="FZ306"/>
      <c r="GA306"/>
      <c r="GB306"/>
      <c r="GC306"/>
      <c r="GD306"/>
      <c r="GE306"/>
      <c r="GF306"/>
      <c r="GG306"/>
      <c r="GH306"/>
      <c r="GI306"/>
      <c r="GJ306"/>
      <c r="GK306"/>
      <c r="GL306"/>
      <c r="GM306"/>
      <c r="GN306"/>
      <c r="GO306"/>
      <c r="GP306"/>
      <c r="GQ306"/>
      <c r="GR306"/>
      <c r="GS306"/>
      <c r="GT306"/>
      <c r="GU306"/>
      <c r="GV306"/>
      <c r="GW306"/>
      <c r="GX306"/>
      <c r="GY306"/>
      <c r="GZ306"/>
      <c r="HA306"/>
      <c r="HB306"/>
      <c r="HC306"/>
      <c r="HD306"/>
      <c r="HE306"/>
      <c r="HF306"/>
      <c r="HG306"/>
      <c r="HH306"/>
      <c r="HI306"/>
      <c r="HJ306"/>
      <c r="HK306"/>
      <c r="HL306"/>
      <c r="HM306"/>
      <c r="HN306"/>
      <c r="HO306"/>
      <c r="HP306"/>
      <c r="HQ306"/>
      <c r="HR306"/>
      <c r="HS306"/>
      <c r="HT306"/>
      <c r="HU306"/>
      <c r="HV306"/>
      <c r="HW306"/>
      <c r="HX306"/>
      <c r="HY306"/>
      <c r="HZ306"/>
      <c r="IA306"/>
      <c r="IB306"/>
      <c r="IC306"/>
      <c r="ID306"/>
      <c r="IE306"/>
      <c r="IF306"/>
      <c r="IG306"/>
      <c r="IH306"/>
      <c r="II306"/>
      <c r="IJ306"/>
      <c r="IK306"/>
      <c r="IL306"/>
      <c r="IM306"/>
      <c r="IN306"/>
      <c r="IO306"/>
      <c r="IP306"/>
      <c r="IQ306"/>
      <c r="IR306"/>
      <c r="IS306"/>
      <c r="IT306"/>
      <c r="IU306"/>
      <c r="IV306"/>
      <c r="IW306"/>
      <c r="IX306"/>
      <c r="IY306"/>
      <c r="IZ306"/>
      <c r="JA306"/>
      <c r="JB306"/>
      <c r="JC306"/>
      <c r="JD306"/>
      <c r="JE306"/>
      <c r="JF306"/>
      <c r="JG306"/>
      <c r="JH306"/>
      <c r="JI306"/>
      <c r="JJ306"/>
      <c r="JK306"/>
      <c r="JL306"/>
      <c r="JM306"/>
      <c r="JN306"/>
      <c r="JO306"/>
      <c r="JP306"/>
      <c r="JQ306"/>
      <c r="JR306"/>
      <c r="JS306"/>
      <c r="JT306"/>
      <c r="JU306"/>
      <c r="JV306"/>
      <c r="JW306"/>
      <c r="JX306"/>
      <c r="JY306"/>
      <c r="JZ306"/>
      <c r="KA306"/>
      <c r="KB306"/>
      <c r="KC306"/>
      <c r="KD306"/>
      <c r="KE306"/>
      <c r="KF306"/>
      <c r="KG306"/>
      <c r="KH306"/>
      <c r="KI306"/>
      <c r="KJ306"/>
      <c r="KK306"/>
      <c r="KL306"/>
      <c r="KM306"/>
      <c r="KN306"/>
      <c r="KO306"/>
      <c r="KP306"/>
      <c r="KQ306"/>
      <c r="KR306"/>
      <c r="KS306"/>
    </row>
    <row r="307" spans="2:305" hidden="1" x14ac:dyDescent="0.25">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ER307"/>
      <c r="ES307"/>
      <c r="ET307"/>
      <c r="EU307"/>
      <c r="EV307"/>
      <c r="EW307"/>
      <c r="EX307"/>
      <c r="EY307"/>
      <c r="EZ307"/>
      <c r="FA307"/>
      <c r="FB307"/>
      <c r="FC307"/>
      <c r="FD307"/>
      <c r="FE307"/>
      <c r="FF307"/>
      <c r="FG307"/>
      <c r="FH307"/>
      <c r="FI307"/>
      <c r="FJ307"/>
      <c r="FK307"/>
      <c r="FL307"/>
      <c r="FM307"/>
      <c r="FN307"/>
      <c r="FO307"/>
      <c r="FP307"/>
      <c r="FQ307"/>
      <c r="FR307"/>
      <c r="FS307"/>
      <c r="FT307"/>
      <c r="FU307"/>
      <c r="FV307"/>
      <c r="FW307"/>
      <c r="FX307"/>
      <c r="FY307"/>
      <c r="FZ307"/>
      <c r="GA307"/>
      <c r="GB307"/>
      <c r="GC307"/>
      <c r="GD307"/>
      <c r="GE307"/>
      <c r="GF307"/>
      <c r="GG307"/>
      <c r="GH307"/>
      <c r="GI307"/>
      <c r="GJ307"/>
      <c r="GK307"/>
      <c r="GL307"/>
      <c r="GM307"/>
      <c r="GN307"/>
      <c r="GO307"/>
      <c r="GP307"/>
      <c r="GQ307"/>
      <c r="GR307"/>
      <c r="GS307"/>
      <c r="GT307"/>
      <c r="GU307"/>
      <c r="GV307"/>
      <c r="GW307"/>
      <c r="GX307"/>
      <c r="GY307"/>
      <c r="GZ307"/>
      <c r="HA307"/>
      <c r="HB307"/>
      <c r="HC307"/>
      <c r="HD307"/>
      <c r="HE307"/>
      <c r="HF307"/>
      <c r="HG307"/>
      <c r="HH307"/>
      <c r="HI307"/>
      <c r="HJ307"/>
      <c r="HK307"/>
      <c r="HL307"/>
      <c r="HM307"/>
      <c r="HN307"/>
      <c r="HO307"/>
      <c r="HP307"/>
      <c r="HQ307"/>
      <c r="HR307"/>
      <c r="HS307"/>
      <c r="HT307"/>
      <c r="HU307"/>
      <c r="HV307"/>
      <c r="HW307"/>
      <c r="HX307"/>
      <c r="HY307"/>
      <c r="HZ307"/>
      <c r="IA307"/>
      <c r="IB307"/>
      <c r="IC307"/>
      <c r="ID307"/>
      <c r="IE307"/>
      <c r="IF307"/>
      <c r="IG307"/>
      <c r="IH307"/>
      <c r="II307"/>
      <c r="IJ307"/>
      <c r="IK307"/>
      <c r="IL307"/>
      <c r="IM307"/>
      <c r="IN307"/>
      <c r="IO307"/>
      <c r="IP307"/>
      <c r="IQ307"/>
      <c r="IR307"/>
      <c r="IS307"/>
      <c r="IT307"/>
      <c r="IU307"/>
      <c r="IV307"/>
      <c r="IW307"/>
      <c r="IX307"/>
      <c r="IY307"/>
      <c r="IZ307"/>
      <c r="JA307"/>
      <c r="JB307"/>
      <c r="JC307"/>
      <c r="JD307"/>
      <c r="JE307"/>
      <c r="JF307"/>
      <c r="JG307"/>
      <c r="JH307"/>
      <c r="JI307"/>
      <c r="JJ307"/>
      <c r="JK307"/>
      <c r="JL307"/>
      <c r="JM307"/>
      <c r="JN307"/>
      <c r="JO307"/>
      <c r="JP307"/>
      <c r="JQ307"/>
      <c r="JR307"/>
      <c r="JS307"/>
      <c r="JT307"/>
      <c r="JU307"/>
      <c r="JV307"/>
      <c r="JW307"/>
      <c r="JX307"/>
      <c r="JY307"/>
      <c r="JZ307"/>
      <c r="KA307"/>
      <c r="KB307"/>
      <c r="KC307"/>
      <c r="KD307"/>
      <c r="KE307"/>
      <c r="KF307"/>
      <c r="KG307"/>
      <c r="KH307"/>
      <c r="KI307"/>
      <c r="KJ307"/>
      <c r="KK307"/>
      <c r="KL307"/>
      <c r="KM307"/>
      <c r="KN307"/>
      <c r="KO307"/>
      <c r="KP307"/>
      <c r="KQ307"/>
      <c r="KR307"/>
      <c r="KS307"/>
    </row>
    <row r="308" spans="2:305" hidden="1" x14ac:dyDescent="0.25">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ER308"/>
      <c r="ES308"/>
      <c r="ET308"/>
      <c r="EU308"/>
      <c r="EV308"/>
      <c r="EW308"/>
      <c r="EX308"/>
      <c r="EY308"/>
      <c r="EZ308"/>
      <c r="FA308"/>
      <c r="FB308"/>
      <c r="FC308"/>
      <c r="FD308"/>
      <c r="FE308"/>
      <c r="FF308"/>
      <c r="FG308"/>
      <c r="FH308"/>
      <c r="FI308"/>
      <c r="FJ308"/>
      <c r="FK308"/>
      <c r="FL308"/>
      <c r="FM308"/>
      <c r="FN308"/>
      <c r="FO308"/>
      <c r="FP308"/>
      <c r="FQ308"/>
      <c r="FR308"/>
      <c r="FS308"/>
      <c r="FT308"/>
      <c r="FU308"/>
      <c r="FV308"/>
      <c r="FW308"/>
      <c r="FX308"/>
      <c r="FY308"/>
      <c r="FZ308"/>
      <c r="GA308"/>
      <c r="GB308"/>
      <c r="GC308"/>
      <c r="GD308"/>
      <c r="GE308"/>
      <c r="GF308"/>
      <c r="GG308"/>
      <c r="GH308"/>
      <c r="GI308"/>
      <c r="GJ308"/>
      <c r="GK308"/>
      <c r="GL308"/>
      <c r="GM308"/>
      <c r="GN308"/>
      <c r="GO308"/>
      <c r="GP308"/>
      <c r="GQ308"/>
      <c r="GR308"/>
      <c r="GS308"/>
      <c r="GT308"/>
      <c r="GU308"/>
      <c r="GV308"/>
      <c r="GW308"/>
      <c r="GX308"/>
      <c r="GY308"/>
      <c r="GZ308"/>
      <c r="HA308"/>
      <c r="HB308"/>
      <c r="HC308"/>
      <c r="HD308"/>
      <c r="HE308"/>
      <c r="HF308"/>
      <c r="HG308"/>
      <c r="HH308"/>
      <c r="HI308"/>
      <c r="HJ308"/>
      <c r="HK308"/>
      <c r="HL308"/>
      <c r="HM308"/>
      <c r="HN308"/>
      <c r="HO308"/>
      <c r="HP308"/>
      <c r="HQ308"/>
      <c r="HR308"/>
      <c r="HS308"/>
      <c r="HT308"/>
      <c r="HU308"/>
      <c r="HV308"/>
      <c r="HW308"/>
      <c r="HX308"/>
      <c r="HY308"/>
      <c r="HZ308"/>
      <c r="IA308"/>
      <c r="IB308"/>
      <c r="IC308"/>
      <c r="ID308"/>
      <c r="IE308"/>
      <c r="IF308"/>
      <c r="IG308"/>
      <c r="IH308"/>
      <c r="II308"/>
      <c r="IJ308"/>
      <c r="IK308"/>
      <c r="IL308"/>
      <c r="IM308"/>
      <c r="IN308"/>
      <c r="IO308"/>
      <c r="IP308"/>
      <c r="IQ308"/>
      <c r="IR308"/>
      <c r="IS308"/>
      <c r="IT308"/>
      <c r="IU308"/>
      <c r="IV308"/>
      <c r="IW308"/>
      <c r="IX308"/>
      <c r="IY308"/>
      <c r="IZ308"/>
      <c r="JA308"/>
      <c r="JB308"/>
      <c r="JC308"/>
      <c r="JD308"/>
      <c r="JE308"/>
      <c r="JF308"/>
      <c r="JG308"/>
      <c r="JH308"/>
      <c r="JI308"/>
      <c r="JJ308"/>
      <c r="JK308"/>
      <c r="JL308"/>
      <c r="JM308"/>
      <c r="JN308"/>
      <c r="JO308"/>
      <c r="JP308"/>
      <c r="JQ308"/>
      <c r="JR308"/>
      <c r="JS308"/>
      <c r="JT308"/>
      <c r="JU308"/>
      <c r="JV308"/>
      <c r="JW308"/>
      <c r="JX308"/>
      <c r="JY308"/>
      <c r="JZ308"/>
      <c r="KA308"/>
      <c r="KB308"/>
      <c r="KC308"/>
      <c r="KD308"/>
      <c r="KE308"/>
      <c r="KF308"/>
      <c r="KG308"/>
      <c r="KH308"/>
      <c r="KI308"/>
      <c r="KJ308"/>
      <c r="KK308"/>
      <c r="KL308"/>
      <c r="KM308"/>
      <c r="KN308"/>
      <c r="KO308"/>
      <c r="KP308"/>
      <c r="KQ308"/>
      <c r="KR308"/>
      <c r="KS308"/>
    </row>
    <row r="309" spans="2:305" hidden="1" x14ac:dyDescent="0.25">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row>
    <row r="310" spans="2:305" hidden="1" x14ac:dyDescent="0.25">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ER310"/>
      <c r="ES310"/>
      <c r="ET310"/>
      <c r="EU310"/>
      <c r="EV310"/>
      <c r="EW310"/>
      <c r="EX310"/>
      <c r="EY310"/>
      <c r="EZ310"/>
      <c r="FA310"/>
      <c r="FB310"/>
      <c r="FC310"/>
      <c r="FD310"/>
      <c r="FE310"/>
      <c r="FF310"/>
      <c r="FG310"/>
      <c r="FH310"/>
      <c r="FI310"/>
      <c r="FJ310"/>
      <c r="FK310"/>
      <c r="FL310"/>
      <c r="FM310"/>
      <c r="FN310"/>
      <c r="FO310"/>
      <c r="FP310"/>
      <c r="FQ310"/>
      <c r="FR310"/>
      <c r="FS310"/>
      <c r="FT310"/>
      <c r="FU310"/>
      <c r="FV310"/>
      <c r="FW310"/>
      <c r="FX310"/>
      <c r="FY310"/>
      <c r="FZ310"/>
      <c r="GA310"/>
      <c r="GB310"/>
      <c r="GC310"/>
      <c r="GD310"/>
      <c r="GE310"/>
      <c r="GF310"/>
      <c r="GG310"/>
      <c r="GH310"/>
      <c r="GI310"/>
      <c r="GJ310"/>
      <c r="GK310"/>
      <c r="GL310"/>
      <c r="GM310"/>
      <c r="GN310"/>
      <c r="GO310"/>
      <c r="GP310"/>
      <c r="GQ310"/>
      <c r="GR310"/>
      <c r="GS310"/>
      <c r="GT310"/>
      <c r="GU310"/>
      <c r="GV310"/>
      <c r="GW310"/>
      <c r="GX310"/>
      <c r="GY310"/>
      <c r="GZ310"/>
      <c r="HA310"/>
      <c r="HB310"/>
      <c r="HC310"/>
      <c r="HD310"/>
      <c r="HE310"/>
      <c r="HF310"/>
      <c r="HG310"/>
      <c r="HH310"/>
      <c r="HI310"/>
      <c r="HJ310"/>
      <c r="HK310"/>
      <c r="HL310"/>
      <c r="HM310"/>
      <c r="HN310"/>
      <c r="HO310"/>
      <c r="HP310"/>
      <c r="HQ310"/>
      <c r="HR310"/>
      <c r="HS310"/>
      <c r="HT310"/>
      <c r="HU310"/>
      <c r="HV310"/>
      <c r="HW310"/>
      <c r="HX310"/>
      <c r="HY310"/>
      <c r="HZ310"/>
      <c r="IA310"/>
      <c r="IB310"/>
      <c r="IC310"/>
      <c r="ID310"/>
      <c r="IE310"/>
      <c r="IF310"/>
      <c r="IG310"/>
      <c r="IH310"/>
      <c r="II310"/>
      <c r="IJ310"/>
      <c r="IK310"/>
      <c r="IL310"/>
      <c r="IM310"/>
      <c r="IN310"/>
      <c r="IO310"/>
      <c r="IP310"/>
      <c r="IQ310"/>
      <c r="IR310"/>
      <c r="IS310"/>
      <c r="IT310"/>
      <c r="IU310"/>
      <c r="IV310"/>
      <c r="IW310"/>
      <c r="IX310"/>
      <c r="IY310"/>
      <c r="IZ310"/>
      <c r="JA310"/>
      <c r="JB310"/>
      <c r="JC310"/>
      <c r="JD310"/>
      <c r="JE310"/>
      <c r="JF310"/>
      <c r="JG310"/>
      <c r="JH310"/>
      <c r="JI310"/>
      <c r="JJ310"/>
      <c r="JK310"/>
      <c r="JL310"/>
      <c r="JM310"/>
      <c r="JN310"/>
      <c r="JO310"/>
      <c r="JP310"/>
      <c r="JQ310"/>
      <c r="JR310"/>
      <c r="JS310"/>
      <c r="JT310"/>
      <c r="JU310"/>
      <c r="JV310"/>
      <c r="JW310"/>
      <c r="JX310"/>
      <c r="JY310"/>
      <c r="JZ310"/>
      <c r="KA310"/>
      <c r="KB310"/>
      <c r="KC310"/>
      <c r="KD310"/>
      <c r="KE310"/>
      <c r="KF310"/>
      <c r="KG310"/>
      <c r="KH310"/>
      <c r="KI310"/>
      <c r="KJ310"/>
      <c r="KK310"/>
      <c r="KL310"/>
      <c r="KM310"/>
      <c r="KN310"/>
      <c r="KO310"/>
      <c r="KP310"/>
      <c r="KQ310"/>
      <c r="KR310"/>
      <c r="KS310"/>
    </row>
    <row r="311" spans="2:305" hidden="1" x14ac:dyDescent="0.25">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ER311"/>
      <c r="ES311"/>
      <c r="ET311"/>
      <c r="EU311"/>
      <c r="EV311"/>
      <c r="EW311"/>
      <c r="EX311"/>
      <c r="EY311"/>
      <c r="EZ311"/>
      <c r="FA311"/>
      <c r="FB311"/>
      <c r="FC311"/>
      <c r="FD311"/>
      <c r="FE311"/>
      <c r="FF311"/>
      <c r="FG311"/>
      <c r="FH311"/>
      <c r="FI311"/>
      <c r="FJ311"/>
      <c r="FK311"/>
      <c r="FL311"/>
      <c r="FM311"/>
      <c r="FN311"/>
      <c r="FO311"/>
      <c r="FP311"/>
      <c r="FQ311"/>
      <c r="FR311"/>
      <c r="FS311"/>
      <c r="FT311"/>
      <c r="FU311"/>
      <c r="FV311"/>
      <c r="FW311"/>
      <c r="FX311"/>
      <c r="FY311"/>
      <c r="FZ311"/>
      <c r="GA311"/>
      <c r="GB311"/>
      <c r="GC311"/>
      <c r="GD311"/>
      <c r="GE311"/>
      <c r="GF311"/>
      <c r="GG311"/>
      <c r="GH311"/>
      <c r="GI311"/>
      <c r="GJ311"/>
      <c r="GK311"/>
      <c r="GL311"/>
      <c r="GM311"/>
      <c r="GN311"/>
      <c r="GO311"/>
      <c r="GP311"/>
      <c r="GQ311"/>
      <c r="GR311"/>
      <c r="GS311"/>
      <c r="GT311"/>
      <c r="GU311"/>
      <c r="GV311"/>
      <c r="GW311"/>
      <c r="GX311"/>
      <c r="GY311"/>
      <c r="GZ311"/>
      <c r="HA311"/>
      <c r="HB311"/>
      <c r="HC311"/>
      <c r="HD311"/>
      <c r="HE311"/>
      <c r="HF311"/>
      <c r="HG311"/>
      <c r="HH311"/>
      <c r="HI311"/>
      <c r="HJ311"/>
      <c r="HK311"/>
      <c r="HL311"/>
      <c r="HM311"/>
      <c r="HN311"/>
      <c r="HO311"/>
      <c r="HP311"/>
      <c r="HQ311"/>
      <c r="HR311"/>
      <c r="HS311"/>
      <c r="HT311"/>
      <c r="HU311"/>
      <c r="HV311"/>
      <c r="HW311"/>
      <c r="HX311"/>
      <c r="HY311"/>
      <c r="HZ311"/>
      <c r="IA311"/>
      <c r="IB311"/>
      <c r="IC311"/>
      <c r="ID311"/>
      <c r="IE311"/>
      <c r="IF311"/>
      <c r="IG311"/>
      <c r="IH311"/>
      <c r="II311"/>
      <c r="IJ311"/>
      <c r="IK311"/>
      <c r="IL311"/>
      <c r="IM311"/>
      <c r="IN311"/>
      <c r="IO311"/>
      <c r="IP311"/>
      <c r="IQ311"/>
      <c r="IR311"/>
      <c r="IS311"/>
      <c r="IT311"/>
      <c r="IU311"/>
      <c r="IV311"/>
      <c r="IW311"/>
      <c r="IX311"/>
      <c r="IY311"/>
      <c r="IZ311"/>
      <c r="JA311"/>
      <c r="JB311"/>
      <c r="JC311"/>
      <c r="JD311"/>
      <c r="JE311"/>
      <c r="JF311"/>
      <c r="JG311"/>
      <c r="JH311"/>
      <c r="JI311"/>
      <c r="JJ311"/>
      <c r="JK311"/>
      <c r="JL311"/>
      <c r="JM311"/>
      <c r="JN311"/>
      <c r="JO311"/>
      <c r="JP311"/>
      <c r="JQ311"/>
      <c r="JR311"/>
      <c r="JS311"/>
      <c r="JT311"/>
      <c r="JU311"/>
      <c r="JV311"/>
      <c r="JW311"/>
      <c r="JX311"/>
      <c r="JY311"/>
      <c r="JZ311"/>
      <c r="KA311"/>
      <c r="KB311"/>
      <c r="KC311"/>
      <c r="KD311"/>
      <c r="KE311"/>
      <c r="KF311"/>
      <c r="KG311"/>
      <c r="KH311"/>
      <c r="KI311"/>
      <c r="KJ311"/>
      <c r="KK311"/>
      <c r="KL311"/>
      <c r="KM311"/>
      <c r="KN311"/>
      <c r="KO311"/>
      <c r="KP311"/>
      <c r="KQ311"/>
      <c r="KR311"/>
      <c r="KS311"/>
    </row>
    <row r="312" spans="2:305" hidden="1" x14ac:dyDescent="0.25">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ER312"/>
      <c r="ES312"/>
      <c r="ET312"/>
      <c r="EU312"/>
      <c r="EV312"/>
      <c r="EW312"/>
      <c r="EX312"/>
      <c r="EY312"/>
      <c r="EZ312"/>
      <c r="FA312"/>
      <c r="FB312"/>
      <c r="FC312"/>
      <c r="FD312"/>
      <c r="FE312"/>
      <c r="FF312"/>
      <c r="FG312"/>
      <c r="FH312"/>
      <c r="FI312"/>
      <c r="FJ312"/>
      <c r="FK312"/>
      <c r="FL312"/>
      <c r="FM312"/>
      <c r="FN312"/>
      <c r="FO312"/>
      <c r="FP312"/>
      <c r="FQ312"/>
      <c r="FR312"/>
      <c r="FS312"/>
      <c r="FT312"/>
      <c r="FU312"/>
      <c r="FV312"/>
      <c r="FW312"/>
      <c r="FX312"/>
      <c r="FY312"/>
      <c r="FZ312"/>
      <c r="GA312"/>
      <c r="GB312"/>
      <c r="GC312"/>
      <c r="GD312"/>
      <c r="GE312"/>
      <c r="GF312"/>
      <c r="GG312"/>
      <c r="GH312"/>
      <c r="GI312"/>
      <c r="GJ312"/>
      <c r="GK312"/>
      <c r="GL312"/>
      <c r="GM312"/>
      <c r="GN312"/>
      <c r="GO312"/>
      <c r="GP312"/>
      <c r="GQ312"/>
      <c r="GR312"/>
      <c r="GS312"/>
      <c r="GT312"/>
      <c r="GU312"/>
      <c r="GV312"/>
      <c r="GW312"/>
      <c r="GX312"/>
      <c r="GY312"/>
      <c r="GZ312"/>
      <c r="HA312"/>
      <c r="HB312"/>
      <c r="HC312"/>
      <c r="HD312"/>
      <c r="HE312"/>
      <c r="HF312"/>
      <c r="HG312"/>
      <c r="HH312"/>
      <c r="HI312"/>
      <c r="HJ312"/>
      <c r="HK312"/>
      <c r="HL312"/>
      <c r="HM312"/>
      <c r="HN312"/>
      <c r="HO312"/>
      <c r="HP312"/>
      <c r="HQ312"/>
      <c r="HR312"/>
      <c r="HS312"/>
      <c r="HT312"/>
      <c r="HU312"/>
      <c r="HV312"/>
      <c r="HW312"/>
      <c r="HX312"/>
      <c r="HY312"/>
      <c r="HZ312"/>
      <c r="IA312"/>
      <c r="IB312"/>
      <c r="IC312"/>
      <c r="ID312"/>
      <c r="IE312"/>
      <c r="IF312"/>
      <c r="IG312"/>
      <c r="IH312"/>
      <c r="II312"/>
      <c r="IJ312"/>
      <c r="IK312"/>
      <c r="IL312"/>
      <c r="IM312"/>
      <c r="IN312"/>
      <c r="IO312"/>
      <c r="IP312"/>
      <c r="IQ312"/>
      <c r="IR312"/>
      <c r="IS312"/>
      <c r="IT312"/>
      <c r="IU312"/>
      <c r="IV312"/>
      <c r="IW312"/>
      <c r="IX312"/>
      <c r="IY312"/>
      <c r="IZ312"/>
      <c r="JA312"/>
      <c r="JB312"/>
      <c r="JC312"/>
      <c r="JD312"/>
      <c r="JE312"/>
      <c r="JF312"/>
      <c r="JG312"/>
      <c r="JH312"/>
      <c r="JI312"/>
      <c r="JJ312"/>
      <c r="JK312"/>
      <c r="JL312"/>
      <c r="JM312"/>
      <c r="JN312"/>
      <c r="JO312"/>
      <c r="JP312"/>
      <c r="JQ312"/>
      <c r="JR312"/>
      <c r="JS312"/>
      <c r="JT312"/>
      <c r="JU312"/>
      <c r="JV312"/>
      <c r="JW312"/>
      <c r="JX312"/>
      <c r="JY312"/>
      <c r="JZ312"/>
      <c r="KA312"/>
      <c r="KB312"/>
      <c r="KC312"/>
      <c r="KD312"/>
      <c r="KE312"/>
      <c r="KF312"/>
      <c r="KG312"/>
      <c r="KH312"/>
      <c r="KI312"/>
      <c r="KJ312"/>
      <c r="KK312"/>
      <c r="KL312"/>
      <c r="KM312"/>
      <c r="KN312"/>
      <c r="KO312"/>
      <c r="KP312"/>
      <c r="KQ312"/>
      <c r="KR312"/>
      <c r="KS312"/>
    </row>
    <row r="313" spans="2:305" hidden="1" x14ac:dyDescent="0.25">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ER313"/>
      <c r="ES313"/>
      <c r="ET313"/>
      <c r="EU313"/>
      <c r="EV313"/>
      <c r="EW313"/>
      <c r="EX313"/>
      <c r="EY313"/>
      <c r="EZ313"/>
      <c r="FA313"/>
      <c r="FB313"/>
      <c r="FC313"/>
      <c r="FD313"/>
      <c r="FE313"/>
      <c r="FF313"/>
      <c r="FG313"/>
      <c r="FH313"/>
      <c r="FI313"/>
      <c r="FJ313"/>
      <c r="FK313"/>
      <c r="FL313"/>
      <c r="FM313"/>
      <c r="FN313"/>
      <c r="FO313"/>
      <c r="FP313"/>
      <c r="FQ313"/>
      <c r="FR313"/>
      <c r="FS313"/>
      <c r="FT313"/>
      <c r="FU313"/>
      <c r="FV313"/>
      <c r="FW313"/>
      <c r="FX313"/>
      <c r="FY313"/>
      <c r="FZ313"/>
      <c r="GA313"/>
      <c r="GB313"/>
      <c r="GC313"/>
      <c r="GD313"/>
      <c r="GE313"/>
      <c r="GF313"/>
      <c r="GG313"/>
      <c r="GH313"/>
      <c r="GI313"/>
      <c r="GJ313"/>
      <c r="GK313"/>
      <c r="GL313"/>
      <c r="GM313"/>
      <c r="GN313"/>
      <c r="GO313"/>
      <c r="GP313"/>
      <c r="GQ313"/>
      <c r="GR313"/>
      <c r="GS313"/>
      <c r="GT313"/>
      <c r="GU313"/>
      <c r="GV313"/>
      <c r="GW313"/>
      <c r="GX313"/>
      <c r="GY313"/>
      <c r="GZ313"/>
      <c r="HA313"/>
      <c r="HB313"/>
      <c r="HC313"/>
      <c r="HD313"/>
      <c r="HE313"/>
      <c r="HF313"/>
      <c r="HG313"/>
      <c r="HH313"/>
      <c r="HI313"/>
      <c r="HJ313"/>
      <c r="HK313"/>
      <c r="HL313"/>
      <c r="HM313"/>
      <c r="HN313"/>
      <c r="HO313"/>
      <c r="HP313"/>
      <c r="HQ313"/>
      <c r="HR313"/>
      <c r="HS313"/>
      <c r="HT313"/>
      <c r="HU313"/>
      <c r="HV313"/>
      <c r="HW313"/>
      <c r="HX313"/>
      <c r="HY313"/>
      <c r="HZ313"/>
      <c r="IA313"/>
      <c r="IB313"/>
      <c r="IC313"/>
      <c r="ID313"/>
      <c r="IE313"/>
      <c r="IF313"/>
      <c r="IG313"/>
      <c r="IH313"/>
      <c r="II313"/>
      <c r="IJ313"/>
      <c r="IK313"/>
      <c r="IL313"/>
      <c r="IM313"/>
      <c r="IN313"/>
      <c r="IO313"/>
      <c r="IP313"/>
      <c r="IQ313"/>
      <c r="IR313"/>
      <c r="IS313"/>
      <c r="IT313"/>
      <c r="IU313"/>
      <c r="IV313"/>
      <c r="IW313"/>
      <c r="IX313"/>
      <c r="IY313"/>
      <c r="IZ313"/>
      <c r="JA313"/>
      <c r="JB313"/>
      <c r="JC313"/>
      <c r="JD313"/>
      <c r="JE313"/>
      <c r="JF313"/>
      <c r="JG313"/>
      <c r="JH313"/>
      <c r="JI313"/>
      <c r="JJ313"/>
      <c r="JK313"/>
      <c r="JL313"/>
      <c r="JM313"/>
      <c r="JN313"/>
      <c r="JO313"/>
      <c r="JP313"/>
      <c r="JQ313"/>
      <c r="JR313"/>
      <c r="JS313"/>
      <c r="JT313"/>
      <c r="JU313"/>
      <c r="JV313"/>
      <c r="JW313"/>
      <c r="JX313"/>
      <c r="JY313"/>
      <c r="JZ313"/>
      <c r="KA313"/>
      <c r="KB313"/>
      <c r="KC313"/>
      <c r="KD313"/>
      <c r="KE313"/>
      <c r="KF313"/>
      <c r="KG313"/>
      <c r="KH313"/>
      <c r="KI313"/>
      <c r="KJ313"/>
      <c r="KK313"/>
      <c r="KL313"/>
      <c r="KM313"/>
      <c r="KN313"/>
      <c r="KO313"/>
      <c r="KP313"/>
      <c r="KQ313"/>
      <c r="KR313"/>
      <c r="KS313"/>
    </row>
    <row r="314" spans="2:305" hidden="1" x14ac:dyDescent="0.25">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ER314"/>
      <c r="ES314"/>
      <c r="ET314"/>
      <c r="EU314"/>
      <c r="EV314"/>
      <c r="EW314"/>
      <c r="EX314"/>
      <c r="EY314"/>
      <c r="EZ314"/>
      <c r="FA314"/>
      <c r="FB314"/>
      <c r="FC314"/>
      <c r="FD314"/>
      <c r="FE314"/>
      <c r="FF314"/>
      <c r="FG314"/>
      <c r="FH314"/>
      <c r="FI314"/>
      <c r="FJ314"/>
      <c r="FK314"/>
      <c r="FL314"/>
      <c r="FM314"/>
      <c r="FN314"/>
      <c r="FO314"/>
      <c r="FP314"/>
      <c r="FQ314"/>
      <c r="FR314"/>
      <c r="FS314"/>
      <c r="FT314"/>
      <c r="FU314"/>
      <c r="FV314"/>
      <c r="FW314"/>
      <c r="FX314"/>
      <c r="FY314"/>
      <c r="FZ314"/>
      <c r="GA314"/>
      <c r="GB314"/>
      <c r="GC314"/>
      <c r="GD314"/>
      <c r="GE314"/>
      <c r="GF314"/>
      <c r="GG314"/>
      <c r="GH314"/>
      <c r="GI314"/>
      <c r="GJ314"/>
      <c r="GK314"/>
      <c r="GL314"/>
      <c r="GM314"/>
      <c r="GN314"/>
      <c r="GO314"/>
      <c r="GP314"/>
      <c r="GQ314"/>
      <c r="GR314"/>
      <c r="GS314"/>
      <c r="GT314"/>
      <c r="GU314"/>
      <c r="GV314"/>
      <c r="GW314"/>
      <c r="GX314"/>
      <c r="GY314"/>
      <c r="GZ314"/>
      <c r="HA314"/>
      <c r="HB314"/>
      <c r="HC314"/>
      <c r="HD314"/>
      <c r="HE314"/>
      <c r="HF314"/>
      <c r="HG314"/>
      <c r="HH314"/>
      <c r="HI314"/>
      <c r="HJ314"/>
      <c r="HK314"/>
      <c r="HL314"/>
      <c r="HM314"/>
      <c r="HN314"/>
      <c r="HO314"/>
      <c r="HP314"/>
      <c r="HQ314"/>
      <c r="HR314"/>
      <c r="HS314"/>
      <c r="HT314"/>
      <c r="HU314"/>
      <c r="HV314"/>
      <c r="HW314"/>
      <c r="HX314"/>
      <c r="HY314"/>
      <c r="HZ314"/>
      <c r="IA314"/>
      <c r="IB314"/>
      <c r="IC314"/>
      <c r="ID314"/>
      <c r="IE314"/>
      <c r="IF314"/>
      <c r="IG314"/>
      <c r="IH314"/>
      <c r="II314"/>
      <c r="IJ314"/>
      <c r="IK314"/>
      <c r="IL314"/>
      <c r="IM314"/>
      <c r="IN314"/>
      <c r="IO314"/>
      <c r="IP314"/>
      <c r="IQ314"/>
      <c r="IR314"/>
      <c r="IS314"/>
      <c r="IT314"/>
      <c r="IU314"/>
      <c r="IV314"/>
      <c r="IW314"/>
      <c r="IX314"/>
      <c r="IY314"/>
      <c r="IZ314"/>
      <c r="JA314"/>
      <c r="JB314"/>
      <c r="JC314"/>
      <c r="JD314"/>
      <c r="JE314"/>
      <c r="JF314"/>
      <c r="JG314"/>
      <c r="JH314"/>
      <c r="JI314"/>
      <c r="JJ314"/>
      <c r="JK314"/>
      <c r="JL314"/>
      <c r="JM314"/>
      <c r="JN314"/>
      <c r="JO314"/>
      <c r="JP314"/>
      <c r="JQ314"/>
      <c r="JR314"/>
      <c r="JS314"/>
      <c r="JT314"/>
      <c r="JU314"/>
      <c r="JV314"/>
      <c r="JW314"/>
      <c r="JX314"/>
      <c r="JY314"/>
      <c r="JZ314"/>
      <c r="KA314"/>
      <c r="KB314"/>
      <c r="KC314"/>
      <c r="KD314"/>
      <c r="KE314"/>
      <c r="KF314"/>
      <c r="KG314"/>
      <c r="KH314"/>
      <c r="KI314"/>
      <c r="KJ314"/>
      <c r="KK314"/>
      <c r="KL314"/>
      <c r="KM314"/>
      <c r="KN314"/>
      <c r="KO314"/>
      <c r="KP314"/>
      <c r="KQ314"/>
      <c r="KR314"/>
      <c r="KS314"/>
    </row>
    <row r="315" spans="2:305" hidden="1" x14ac:dyDescent="0.2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ER315"/>
      <c r="ES315"/>
      <c r="ET315"/>
      <c r="EU315"/>
      <c r="EV315"/>
      <c r="EW315"/>
      <c r="EX315"/>
      <c r="EY315"/>
      <c r="EZ315"/>
      <c r="FA315"/>
      <c r="FB315"/>
      <c r="FC315"/>
      <c r="FD315"/>
      <c r="FE315"/>
      <c r="FF315"/>
      <c r="FG315"/>
      <c r="FH315"/>
      <c r="FI315"/>
      <c r="FJ315"/>
      <c r="FK315"/>
      <c r="FL315"/>
      <c r="FM315"/>
      <c r="FN315"/>
      <c r="FO315"/>
      <c r="FP315"/>
      <c r="FQ315"/>
      <c r="FR315"/>
      <c r="FS315"/>
      <c r="FT315"/>
      <c r="FU315"/>
      <c r="FV315"/>
      <c r="FW315"/>
      <c r="FX315"/>
      <c r="FY315"/>
      <c r="FZ315"/>
      <c r="GA315"/>
      <c r="GB315"/>
      <c r="GC315"/>
      <c r="GD315"/>
      <c r="GE315"/>
      <c r="GF315"/>
      <c r="GG315"/>
      <c r="GH315"/>
      <c r="GI315"/>
      <c r="GJ315"/>
      <c r="GK315"/>
      <c r="GL315"/>
      <c r="GM315"/>
      <c r="GN315"/>
      <c r="GO315"/>
      <c r="GP315"/>
      <c r="GQ315"/>
      <c r="GR315"/>
      <c r="GS315"/>
      <c r="GT315"/>
      <c r="GU315"/>
      <c r="GV315"/>
      <c r="GW315"/>
      <c r="GX315"/>
      <c r="GY315"/>
      <c r="GZ315"/>
      <c r="HA315"/>
      <c r="HB315"/>
      <c r="HC315"/>
      <c r="HD315"/>
      <c r="HE315"/>
      <c r="HF315"/>
      <c r="HG315"/>
      <c r="HH315"/>
      <c r="HI315"/>
      <c r="HJ315"/>
      <c r="HK315"/>
      <c r="HL315"/>
      <c r="HM315"/>
      <c r="HN315"/>
      <c r="HO315"/>
      <c r="HP315"/>
      <c r="HQ315"/>
      <c r="HR315"/>
      <c r="HS315"/>
      <c r="HT315"/>
      <c r="HU315"/>
      <c r="HV315"/>
      <c r="HW315"/>
      <c r="HX315"/>
      <c r="HY315"/>
      <c r="HZ315"/>
      <c r="IA315"/>
      <c r="IB315"/>
      <c r="IC315"/>
      <c r="ID315"/>
      <c r="IE315"/>
      <c r="IF315"/>
      <c r="IG315"/>
      <c r="IH315"/>
      <c r="II315"/>
      <c r="IJ315"/>
      <c r="IK315"/>
      <c r="IL315"/>
      <c r="IM315"/>
      <c r="IN315"/>
      <c r="IO315"/>
      <c r="IP315"/>
      <c r="IQ315"/>
      <c r="IR315"/>
      <c r="IS315"/>
      <c r="IT315"/>
      <c r="IU315"/>
      <c r="IV315"/>
      <c r="IW315"/>
      <c r="IX315"/>
      <c r="IY315"/>
      <c r="IZ315"/>
      <c r="JA315"/>
      <c r="JB315"/>
      <c r="JC315"/>
      <c r="JD315"/>
      <c r="JE315"/>
      <c r="JF315"/>
      <c r="JG315"/>
      <c r="JH315"/>
      <c r="JI315"/>
      <c r="JJ315"/>
      <c r="JK315"/>
      <c r="JL315"/>
      <c r="JM315"/>
      <c r="JN315"/>
      <c r="JO315"/>
      <c r="JP315"/>
      <c r="JQ315"/>
      <c r="JR315"/>
      <c r="JS315"/>
      <c r="JT315"/>
      <c r="JU315"/>
      <c r="JV315"/>
      <c r="JW315"/>
      <c r="JX315"/>
      <c r="JY315"/>
      <c r="JZ315"/>
      <c r="KA315"/>
      <c r="KB315"/>
      <c r="KC315"/>
      <c r="KD315"/>
      <c r="KE315"/>
      <c r="KF315"/>
      <c r="KG315"/>
      <c r="KH315"/>
      <c r="KI315"/>
      <c r="KJ315"/>
      <c r="KK315"/>
      <c r="KL315"/>
      <c r="KM315"/>
      <c r="KN315"/>
      <c r="KO315"/>
      <c r="KP315"/>
      <c r="KQ315"/>
      <c r="KR315"/>
      <c r="KS315"/>
    </row>
    <row r="316" spans="2:305" hidden="1" x14ac:dyDescent="0.25">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ER316"/>
      <c r="ES316"/>
      <c r="ET316"/>
      <c r="EU316"/>
      <c r="EV316"/>
      <c r="EW316"/>
      <c r="EX316"/>
      <c r="EY316"/>
      <c r="EZ316"/>
      <c r="FA316"/>
      <c r="FB316"/>
      <c r="FC316"/>
      <c r="FD316"/>
      <c r="FE316"/>
      <c r="FF316"/>
      <c r="FG316"/>
      <c r="FH316"/>
      <c r="FI316"/>
      <c r="FJ316"/>
      <c r="FK316"/>
      <c r="FL316"/>
      <c r="FM316"/>
      <c r="FN316"/>
      <c r="FO316"/>
      <c r="FP316"/>
      <c r="FQ316"/>
      <c r="FR316"/>
      <c r="FS316"/>
      <c r="FT316"/>
      <c r="FU316"/>
      <c r="FV316"/>
      <c r="FW316"/>
      <c r="FX316"/>
      <c r="FY316"/>
      <c r="FZ316"/>
      <c r="GA316"/>
      <c r="GB316"/>
      <c r="GC316"/>
      <c r="GD316"/>
      <c r="GE316"/>
      <c r="GF316"/>
      <c r="GG316"/>
      <c r="GH316"/>
      <c r="GI316"/>
      <c r="GJ316"/>
      <c r="GK316"/>
      <c r="GL316"/>
      <c r="GM316"/>
      <c r="GN316"/>
      <c r="GO316"/>
      <c r="GP316"/>
      <c r="GQ316"/>
      <c r="GR316"/>
      <c r="GS316"/>
      <c r="GT316"/>
      <c r="GU316"/>
      <c r="GV316"/>
      <c r="GW316"/>
      <c r="GX316"/>
      <c r="GY316"/>
      <c r="GZ316"/>
      <c r="HA316"/>
      <c r="HB316"/>
      <c r="HC316"/>
      <c r="HD316"/>
      <c r="HE316"/>
      <c r="HF316"/>
      <c r="HG316"/>
      <c r="HH316"/>
      <c r="HI316"/>
      <c r="HJ316"/>
      <c r="HK316"/>
      <c r="HL316"/>
      <c r="HM316"/>
      <c r="HN316"/>
      <c r="HO316"/>
      <c r="HP316"/>
      <c r="HQ316"/>
      <c r="HR316"/>
      <c r="HS316"/>
      <c r="HT316"/>
      <c r="HU316"/>
      <c r="HV316"/>
      <c r="HW316"/>
      <c r="HX316"/>
      <c r="HY316"/>
      <c r="HZ316"/>
      <c r="IA316"/>
      <c r="IB316"/>
      <c r="IC316"/>
      <c r="ID316"/>
      <c r="IE316"/>
      <c r="IF316"/>
      <c r="IG316"/>
      <c r="IH316"/>
      <c r="II316"/>
      <c r="IJ316"/>
      <c r="IK316"/>
      <c r="IL316"/>
      <c r="IM316"/>
      <c r="IN316"/>
      <c r="IO316"/>
      <c r="IP316"/>
      <c r="IQ316"/>
      <c r="IR316"/>
      <c r="IS316"/>
      <c r="IT316"/>
      <c r="IU316"/>
      <c r="IV316"/>
      <c r="IW316"/>
      <c r="IX316"/>
      <c r="IY316"/>
      <c r="IZ316"/>
      <c r="JA316"/>
      <c r="JB316"/>
      <c r="JC316"/>
      <c r="JD316"/>
      <c r="JE316"/>
      <c r="JF316"/>
      <c r="JG316"/>
      <c r="JH316"/>
      <c r="JI316"/>
      <c r="JJ316"/>
      <c r="JK316"/>
      <c r="JL316"/>
      <c r="JM316"/>
      <c r="JN316"/>
      <c r="JO316"/>
      <c r="JP316"/>
      <c r="JQ316"/>
      <c r="JR316"/>
      <c r="JS316"/>
      <c r="JT316"/>
      <c r="JU316"/>
      <c r="JV316"/>
      <c r="JW316"/>
      <c r="JX316"/>
      <c r="JY316"/>
      <c r="JZ316"/>
      <c r="KA316"/>
      <c r="KB316"/>
      <c r="KC316"/>
      <c r="KD316"/>
      <c r="KE316"/>
      <c r="KF316"/>
      <c r="KG316"/>
      <c r="KH316"/>
      <c r="KI316"/>
      <c r="KJ316"/>
      <c r="KK316"/>
      <c r="KL316"/>
      <c r="KM316"/>
      <c r="KN316"/>
      <c r="KO316"/>
      <c r="KP316"/>
      <c r="KQ316"/>
      <c r="KR316"/>
      <c r="KS316"/>
    </row>
    <row r="317" spans="2:305" hidden="1" x14ac:dyDescent="0.25">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ER317"/>
      <c r="ES317"/>
      <c r="ET317"/>
      <c r="EU317"/>
      <c r="EV317"/>
      <c r="EW317"/>
      <c r="EX317"/>
      <c r="EY317"/>
      <c r="EZ317"/>
      <c r="FA317"/>
      <c r="FB317"/>
      <c r="FC317"/>
      <c r="FD317"/>
      <c r="FE317"/>
      <c r="FF317"/>
      <c r="FG317"/>
      <c r="FH317"/>
      <c r="FI317"/>
      <c r="FJ317"/>
      <c r="FK317"/>
      <c r="FL317"/>
      <c r="FM317"/>
      <c r="FN317"/>
      <c r="FO317"/>
      <c r="FP317"/>
      <c r="FQ317"/>
      <c r="FR317"/>
      <c r="FS317"/>
      <c r="FT317"/>
      <c r="FU317"/>
      <c r="FV317"/>
      <c r="FW317"/>
      <c r="FX317"/>
      <c r="FY317"/>
      <c r="FZ317"/>
      <c r="GA317"/>
      <c r="GB317"/>
      <c r="GC317"/>
      <c r="GD317"/>
      <c r="GE317"/>
      <c r="GF317"/>
      <c r="GG317"/>
      <c r="GH317"/>
      <c r="GI317"/>
      <c r="GJ317"/>
      <c r="GK317"/>
      <c r="GL317"/>
      <c r="GM317"/>
      <c r="GN317"/>
      <c r="GO317"/>
      <c r="GP317"/>
      <c r="GQ317"/>
      <c r="GR317"/>
      <c r="GS317"/>
      <c r="GT317"/>
      <c r="GU317"/>
      <c r="GV317"/>
      <c r="GW317"/>
      <c r="GX317"/>
      <c r="GY317"/>
      <c r="GZ317"/>
      <c r="HA317"/>
      <c r="HB317"/>
      <c r="HC317"/>
      <c r="HD317"/>
      <c r="HE317"/>
      <c r="HF317"/>
      <c r="HG317"/>
      <c r="HH317"/>
      <c r="HI317"/>
      <c r="HJ317"/>
      <c r="HK317"/>
      <c r="HL317"/>
      <c r="HM317"/>
      <c r="HN317"/>
      <c r="HO317"/>
      <c r="HP317"/>
      <c r="HQ317"/>
      <c r="HR317"/>
      <c r="HS317"/>
      <c r="HT317"/>
      <c r="HU317"/>
      <c r="HV317"/>
      <c r="HW317"/>
      <c r="HX317"/>
      <c r="HY317"/>
      <c r="HZ317"/>
      <c r="IA317"/>
      <c r="IB317"/>
      <c r="IC317"/>
      <c r="ID317"/>
      <c r="IE317"/>
      <c r="IF317"/>
      <c r="IG317"/>
      <c r="IH317"/>
      <c r="II317"/>
      <c r="IJ317"/>
      <c r="IK317"/>
      <c r="IL317"/>
      <c r="IM317"/>
      <c r="IN317"/>
      <c r="IO317"/>
      <c r="IP317"/>
      <c r="IQ317"/>
      <c r="IR317"/>
      <c r="IS317"/>
      <c r="IT317"/>
      <c r="IU317"/>
      <c r="IV317"/>
      <c r="IW317"/>
      <c r="IX317"/>
      <c r="IY317"/>
      <c r="IZ317"/>
      <c r="JA317"/>
      <c r="JB317"/>
      <c r="JC317"/>
      <c r="JD317"/>
      <c r="JE317"/>
      <c r="JF317"/>
      <c r="JG317"/>
      <c r="JH317"/>
      <c r="JI317"/>
      <c r="JJ317"/>
      <c r="JK317"/>
      <c r="JL317"/>
      <c r="JM317"/>
      <c r="JN317"/>
      <c r="JO317"/>
      <c r="JP317"/>
      <c r="JQ317"/>
      <c r="JR317"/>
      <c r="JS317"/>
      <c r="JT317"/>
      <c r="JU317"/>
      <c r="JV317"/>
      <c r="JW317"/>
      <c r="JX317"/>
      <c r="JY317"/>
      <c r="JZ317"/>
      <c r="KA317"/>
      <c r="KB317"/>
      <c r="KC317"/>
      <c r="KD317"/>
      <c r="KE317"/>
      <c r="KF317"/>
      <c r="KG317"/>
      <c r="KH317"/>
      <c r="KI317"/>
      <c r="KJ317"/>
      <c r="KK317"/>
      <c r="KL317"/>
      <c r="KM317"/>
      <c r="KN317"/>
      <c r="KO317"/>
      <c r="KP317"/>
      <c r="KQ317"/>
      <c r="KR317"/>
      <c r="KS317"/>
    </row>
    <row r="318" spans="2:305" hidden="1" x14ac:dyDescent="0.25">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c r="ER318"/>
      <c r="ES318"/>
      <c r="ET318"/>
      <c r="EU318"/>
      <c r="EV318"/>
      <c r="EW318"/>
      <c r="EX318"/>
      <c r="EY318"/>
      <c r="EZ318"/>
      <c r="FA318"/>
      <c r="FB318"/>
      <c r="FC318"/>
      <c r="FD318"/>
      <c r="FE318"/>
      <c r="FF318"/>
      <c r="FG318"/>
      <c r="FH318"/>
      <c r="FI318"/>
      <c r="FJ318"/>
      <c r="FK318"/>
      <c r="FL318"/>
      <c r="FM318"/>
      <c r="FN318"/>
      <c r="FO318"/>
      <c r="FP318"/>
      <c r="FQ318"/>
      <c r="FR318"/>
      <c r="FS318"/>
      <c r="FT318"/>
      <c r="FU318"/>
      <c r="FV318"/>
      <c r="FW318"/>
      <c r="FX318"/>
      <c r="FY318"/>
      <c r="FZ318"/>
      <c r="GA318"/>
      <c r="GB318"/>
      <c r="GC318"/>
      <c r="GD318"/>
      <c r="GE318"/>
      <c r="GF318"/>
      <c r="GG318"/>
      <c r="GH318"/>
      <c r="GI318"/>
      <c r="GJ318"/>
      <c r="GK318"/>
      <c r="GL318"/>
      <c r="GM318"/>
      <c r="GN318"/>
      <c r="GO318"/>
      <c r="GP318"/>
      <c r="GQ318"/>
      <c r="GR318"/>
      <c r="GS318"/>
      <c r="GT318"/>
      <c r="GU318"/>
      <c r="GV318"/>
      <c r="GW318"/>
      <c r="GX318"/>
      <c r="GY318"/>
      <c r="GZ318"/>
      <c r="HA318"/>
      <c r="HB318"/>
      <c r="HC318"/>
      <c r="HD318"/>
      <c r="HE318"/>
      <c r="HF318"/>
      <c r="HG318"/>
      <c r="HH318"/>
      <c r="HI318"/>
      <c r="HJ318"/>
      <c r="HK318"/>
      <c r="HL318"/>
      <c r="HM318"/>
      <c r="HN318"/>
      <c r="HO318"/>
      <c r="HP318"/>
      <c r="HQ318"/>
      <c r="HR318"/>
      <c r="HS318"/>
      <c r="HT318"/>
      <c r="HU318"/>
      <c r="HV318"/>
      <c r="HW318"/>
      <c r="HX318"/>
      <c r="HY318"/>
      <c r="HZ318"/>
      <c r="IA318"/>
      <c r="IB318"/>
      <c r="IC318"/>
      <c r="ID318"/>
      <c r="IE318"/>
      <c r="IF318"/>
      <c r="IG318"/>
      <c r="IH318"/>
      <c r="II318"/>
      <c r="IJ318"/>
      <c r="IK318"/>
      <c r="IL318"/>
      <c r="IM318"/>
      <c r="IN318"/>
      <c r="IO318"/>
      <c r="IP318"/>
      <c r="IQ318"/>
      <c r="IR318"/>
      <c r="IS318"/>
      <c r="IT318"/>
      <c r="IU318"/>
      <c r="IV318"/>
      <c r="IW318"/>
      <c r="IX318"/>
      <c r="IY318"/>
      <c r="IZ318"/>
      <c r="JA318"/>
      <c r="JB318"/>
      <c r="JC318"/>
      <c r="JD318"/>
      <c r="JE318"/>
      <c r="JF318"/>
      <c r="JG318"/>
      <c r="JH318"/>
      <c r="JI318"/>
      <c r="JJ318"/>
      <c r="JK318"/>
      <c r="JL318"/>
      <c r="JM318"/>
      <c r="JN318"/>
      <c r="JO318"/>
      <c r="JP318"/>
      <c r="JQ318"/>
      <c r="JR318"/>
      <c r="JS318"/>
      <c r="JT318"/>
      <c r="JU318"/>
      <c r="JV318"/>
      <c r="JW318"/>
      <c r="JX318"/>
      <c r="JY318"/>
      <c r="JZ318"/>
      <c r="KA318"/>
      <c r="KB318"/>
      <c r="KC318"/>
      <c r="KD318"/>
      <c r="KE318"/>
      <c r="KF318"/>
      <c r="KG318"/>
      <c r="KH318"/>
      <c r="KI318"/>
      <c r="KJ318"/>
      <c r="KK318"/>
      <c r="KL318"/>
      <c r="KM318"/>
      <c r="KN318"/>
      <c r="KO318"/>
      <c r="KP318"/>
      <c r="KQ318"/>
      <c r="KR318"/>
      <c r="KS318"/>
    </row>
    <row r="319" spans="2:305" hidden="1" x14ac:dyDescent="0.25">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c r="ER319"/>
      <c r="ES319"/>
      <c r="ET319"/>
      <c r="EU319"/>
      <c r="EV319"/>
      <c r="EW319"/>
      <c r="EX319"/>
      <c r="EY319"/>
      <c r="EZ319"/>
      <c r="FA319"/>
      <c r="FB319"/>
      <c r="FC319"/>
      <c r="FD319"/>
      <c r="FE319"/>
      <c r="FF319"/>
      <c r="FG319"/>
      <c r="FH319"/>
      <c r="FI319"/>
      <c r="FJ319"/>
      <c r="FK319"/>
      <c r="FL319"/>
      <c r="FM319"/>
      <c r="FN319"/>
      <c r="FO319"/>
      <c r="FP319"/>
      <c r="FQ319"/>
      <c r="FR319"/>
      <c r="FS319"/>
      <c r="FT319"/>
      <c r="FU319"/>
      <c r="FV319"/>
      <c r="FW319"/>
      <c r="FX319"/>
      <c r="FY319"/>
      <c r="FZ319"/>
      <c r="GA319"/>
      <c r="GB319"/>
      <c r="GC319"/>
      <c r="GD319"/>
      <c r="GE319"/>
      <c r="GF319"/>
      <c r="GG319"/>
      <c r="GH319"/>
      <c r="GI319"/>
      <c r="GJ319"/>
      <c r="GK319"/>
      <c r="GL319"/>
      <c r="GM319"/>
      <c r="GN319"/>
      <c r="GO319"/>
      <c r="GP319"/>
      <c r="GQ319"/>
      <c r="GR319"/>
      <c r="GS319"/>
      <c r="GT319"/>
      <c r="GU319"/>
      <c r="GV319"/>
      <c r="GW319"/>
      <c r="GX319"/>
      <c r="GY319"/>
      <c r="GZ319"/>
      <c r="HA319"/>
      <c r="HB319"/>
      <c r="HC319"/>
      <c r="HD319"/>
      <c r="HE319"/>
      <c r="HF319"/>
      <c r="HG319"/>
      <c r="HH319"/>
      <c r="HI319"/>
      <c r="HJ319"/>
      <c r="HK319"/>
      <c r="HL319"/>
      <c r="HM319"/>
      <c r="HN319"/>
      <c r="HO319"/>
      <c r="HP319"/>
      <c r="HQ319"/>
      <c r="HR319"/>
      <c r="HS319"/>
      <c r="HT319"/>
      <c r="HU319"/>
      <c r="HV319"/>
      <c r="HW319"/>
      <c r="HX319"/>
      <c r="HY319"/>
      <c r="HZ319"/>
      <c r="IA319"/>
      <c r="IB319"/>
      <c r="IC319"/>
      <c r="ID319"/>
      <c r="IE319"/>
      <c r="IF319"/>
      <c r="IG319"/>
      <c r="IH319"/>
      <c r="II319"/>
      <c r="IJ319"/>
      <c r="IK319"/>
      <c r="IL319"/>
      <c r="IM319"/>
      <c r="IN319"/>
      <c r="IO319"/>
      <c r="IP319"/>
      <c r="IQ319"/>
      <c r="IR319"/>
      <c r="IS319"/>
      <c r="IT319"/>
      <c r="IU319"/>
      <c r="IV319"/>
      <c r="IW319"/>
      <c r="IX319"/>
      <c r="IY319"/>
      <c r="IZ319"/>
      <c r="JA319"/>
      <c r="JB319"/>
      <c r="JC319"/>
      <c r="JD319"/>
      <c r="JE319"/>
      <c r="JF319"/>
      <c r="JG319"/>
      <c r="JH319"/>
      <c r="JI319"/>
      <c r="JJ319"/>
      <c r="JK319"/>
      <c r="JL319"/>
      <c r="JM319"/>
      <c r="JN319"/>
      <c r="JO319"/>
      <c r="JP319"/>
      <c r="JQ319"/>
      <c r="JR319"/>
      <c r="JS319"/>
      <c r="JT319"/>
      <c r="JU319"/>
      <c r="JV319"/>
      <c r="JW319"/>
      <c r="JX319"/>
      <c r="JY319"/>
      <c r="JZ319"/>
      <c r="KA319"/>
      <c r="KB319"/>
      <c r="KC319"/>
      <c r="KD319"/>
      <c r="KE319"/>
      <c r="KF319"/>
      <c r="KG319"/>
      <c r="KH319"/>
      <c r="KI319"/>
      <c r="KJ319"/>
      <c r="KK319"/>
      <c r="KL319"/>
      <c r="KM319"/>
      <c r="KN319"/>
      <c r="KO319"/>
      <c r="KP319"/>
      <c r="KQ319"/>
      <c r="KR319"/>
      <c r="KS319"/>
    </row>
    <row r="320" spans="2:305" hidden="1" x14ac:dyDescent="0.25">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c r="ER320"/>
      <c r="ES320"/>
      <c r="ET320"/>
      <c r="EU320"/>
      <c r="EV320"/>
      <c r="EW320"/>
      <c r="EX320"/>
      <c r="EY320"/>
      <c r="EZ320"/>
      <c r="FA320"/>
      <c r="FB320"/>
      <c r="FC320"/>
      <c r="FD320"/>
      <c r="FE320"/>
      <c r="FF320"/>
      <c r="FG320"/>
      <c r="FH320"/>
      <c r="FI320"/>
      <c r="FJ320"/>
      <c r="FK320"/>
      <c r="FL320"/>
      <c r="FM320"/>
      <c r="FN320"/>
      <c r="FO320"/>
      <c r="FP320"/>
      <c r="FQ320"/>
      <c r="FR320"/>
      <c r="FS320"/>
      <c r="FT320"/>
      <c r="FU320"/>
      <c r="FV320"/>
      <c r="FW320"/>
      <c r="FX320"/>
      <c r="FY320"/>
      <c r="FZ320"/>
      <c r="GA320"/>
      <c r="GB320"/>
      <c r="GC320"/>
      <c r="GD320"/>
      <c r="GE320"/>
      <c r="GF320"/>
      <c r="GG320"/>
      <c r="GH320"/>
      <c r="GI320"/>
      <c r="GJ320"/>
      <c r="GK320"/>
      <c r="GL320"/>
      <c r="GM320"/>
      <c r="GN320"/>
      <c r="GO320"/>
      <c r="GP320"/>
      <c r="GQ320"/>
      <c r="GR320"/>
      <c r="GS320"/>
      <c r="GT320"/>
      <c r="GU320"/>
      <c r="GV320"/>
      <c r="GW320"/>
      <c r="GX320"/>
      <c r="GY320"/>
      <c r="GZ320"/>
      <c r="HA320"/>
      <c r="HB320"/>
      <c r="HC320"/>
      <c r="HD320"/>
      <c r="HE320"/>
      <c r="HF320"/>
      <c r="HG320"/>
      <c r="HH320"/>
      <c r="HI320"/>
      <c r="HJ320"/>
      <c r="HK320"/>
      <c r="HL320"/>
      <c r="HM320"/>
      <c r="HN320"/>
      <c r="HO320"/>
      <c r="HP320"/>
      <c r="HQ320"/>
      <c r="HR320"/>
      <c r="HS320"/>
      <c r="HT320"/>
      <c r="HU320"/>
      <c r="HV320"/>
      <c r="HW320"/>
      <c r="HX320"/>
      <c r="HY320"/>
      <c r="HZ320"/>
      <c r="IA320"/>
      <c r="IB320"/>
      <c r="IC320"/>
      <c r="ID320"/>
      <c r="IE320"/>
      <c r="IF320"/>
      <c r="IG320"/>
      <c r="IH320"/>
      <c r="II320"/>
      <c r="IJ320"/>
      <c r="IK320"/>
      <c r="IL320"/>
      <c r="IM320"/>
      <c r="IN320"/>
      <c r="IO320"/>
      <c r="IP320"/>
      <c r="IQ320"/>
      <c r="IR320"/>
      <c r="IS320"/>
      <c r="IT320"/>
      <c r="IU320"/>
      <c r="IV320"/>
      <c r="IW320"/>
      <c r="IX320"/>
      <c r="IY320"/>
      <c r="IZ320"/>
      <c r="JA320"/>
      <c r="JB320"/>
      <c r="JC320"/>
      <c r="JD320"/>
      <c r="JE320"/>
      <c r="JF320"/>
      <c r="JG320"/>
      <c r="JH320"/>
      <c r="JI320"/>
      <c r="JJ320"/>
      <c r="JK320"/>
      <c r="JL320"/>
      <c r="JM320"/>
      <c r="JN320"/>
      <c r="JO320"/>
      <c r="JP320"/>
      <c r="JQ320"/>
      <c r="JR320"/>
      <c r="JS320"/>
      <c r="JT320"/>
      <c r="JU320"/>
      <c r="JV320"/>
      <c r="JW320"/>
      <c r="JX320"/>
      <c r="JY320"/>
      <c r="JZ320"/>
      <c r="KA320"/>
      <c r="KB320"/>
      <c r="KC320"/>
      <c r="KD320"/>
      <c r="KE320"/>
      <c r="KF320"/>
      <c r="KG320"/>
      <c r="KH320"/>
      <c r="KI320"/>
      <c r="KJ320"/>
      <c r="KK320"/>
      <c r="KL320"/>
      <c r="KM320"/>
      <c r="KN320"/>
      <c r="KO320"/>
      <c r="KP320"/>
      <c r="KQ320"/>
      <c r="KR320"/>
      <c r="KS320"/>
    </row>
    <row r="321" spans="2:306" hidden="1" x14ac:dyDescent="0.25">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c r="ER321"/>
      <c r="ES321"/>
      <c r="ET321"/>
      <c r="EU321"/>
      <c r="EV321"/>
      <c r="EW321"/>
      <c r="EX321"/>
      <c r="EY321"/>
      <c r="EZ321"/>
      <c r="FA321"/>
      <c r="FB321"/>
      <c r="FC321"/>
      <c r="FD321"/>
      <c r="FE321"/>
      <c r="FF321"/>
      <c r="FG321"/>
      <c r="FH321"/>
      <c r="FI321"/>
      <c r="FJ321"/>
      <c r="FK321"/>
      <c r="FL321"/>
      <c r="FM321"/>
      <c r="FN321"/>
      <c r="FO321"/>
      <c r="FP321"/>
      <c r="FQ321"/>
      <c r="FR321"/>
      <c r="FS321"/>
      <c r="FT321"/>
      <c r="FU321"/>
      <c r="FV321"/>
      <c r="FW321"/>
      <c r="FX321"/>
      <c r="FY321"/>
      <c r="FZ321"/>
      <c r="GA321"/>
      <c r="GB321"/>
      <c r="GC321"/>
      <c r="GD321"/>
      <c r="GE321"/>
      <c r="GF321"/>
      <c r="GG321"/>
      <c r="GH321"/>
      <c r="GI321"/>
      <c r="GJ321"/>
      <c r="GK321"/>
      <c r="GL321"/>
      <c r="GM321"/>
      <c r="GN321"/>
      <c r="GO321"/>
      <c r="GP321"/>
      <c r="GQ321"/>
      <c r="GR321"/>
      <c r="GS321"/>
      <c r="GT321"/>
      <c r="GU321"/>
      <c r="GV321"/>
      <c r="GW321"/>
      <c r="GX321"/>
      <c r="GY321"/>
      <c r="GZ321"/>
      <c r="HA321"/>
      <c r="HB321"/>
      <c r="HC321"/>
      <c r="HD321"/>
      <c r="HE321"/>
      <c r="HF321"/>
      <c r="HG321"/>
      <c r="HH321"/>
      <c r="HI321"/>
      <c r="HJ321"/>
      <c r="HK321"/>
      <c r="HL321"/>
      <c r="HM321"/>
      <c r="HN321"/>
      <c r="HO321"/>
      <c r="HP321"/>
      <c r="HQ321"/>
      <c r="HR321"/>
      <c r="HS321"/>
      <c r="HT321"/>
      <c r="HU321"/>
      <c r="HV321"/>
      <c r="HW321"/>
      <c r="HX321"/>
      <c r="HY321"/>
      <c r="HZ321"/>
      <c r="IA321"/>
      <c r="IB321"/>
      <c r="IC321"/>
      <c r="ID321"/>
      <c r="IE321"/>
      <c r="IF321"/>
      <c r="IG321"/>
      <c r="IH321"/>
      <c r="II321"/>
      <c r="IJ321"/>
      <c r="IK321"/>
      <c r="IL321"/>
      <c r="IM321"/>
      <c r="IN321"/>
      <c r="IO321"/>
      <c r="IP321"/>
      <c r="IQ321"/>
      <c r="IR321"/>
      <c r="IS321"/>
      <c r="IT321"/>
      <c r="IU321"/>
      <c r="IV321"/>
      <c r="IW321"/>
      <c r="IX321"/>
      <c r="IY321"/>
      <c r="IZ321"/>
      <c r="JA321"/>
      <c r="JB321"/>
      <c r="JC321"/>
      <c r="JD321"/>
      <c r="JE321"/>
      <c r="JF321"/>
      <c r="JG321"/>
      <c r="JH321"/>
      <c r="JI321"/>
      <c r="JJ321"/>
      <c r="JK321"/>
      <c r="JL321"/>
      <c r="JM321"/>
      <c r="JN321"/>
      <c r="JO321"/>
      <c r="JP321"/>
      <c r="JQ321"/>
      <c r="JR321"/>
      <c r="JS321"/>
      <c r="JT321"/>
      <c r="JU321"/>
      <c r="JV321"/>
      <c r="JW321"/>
      <c r="JX321"/>
      <c r="JY321"/>
      <c r="JZ321"/>
      <c r="KA321"/>
      <c r="KB321"/>
      <c r="KC321"/>
      <c r="KD321"/>
      <c r="KE321"/>
      <c r="KF321"/>
      <c r="KG321"/>
      <c r="KH321"/>
      <c r="KI321"/>
      <c r="KJ321"/>
      <c r="KK321"/>
      <c r="KL321"/>
      <c r="KM321"/>
      <c r="KN321"/>
      <c r="KO321"/>
      <c r="KP321"/>
      <c r="KQ321"/>
      <c r="KR321"/>
      <c r="KS321"/>
    </row>
    <row r="322" spans="2:306" hidden="1" x14ac:dyDescent="0.25">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c r="ER322"/>
      <c r="ES322"/>
      <c r="ET322"/>
      <c r="EU322"/>
      <c r="EV322"/>
      <c r="EW322"/>
      <c r="EX322"/>
      <c r="EY322"/>
      <c r="EZ322"/>
      <c r="FA322"/>
      <c r="FB322"/>
      <c r="FC322"/>
      <c r="FD322"/>
      <c r="FE322"/>
      <c r="FF322"/>
      <c r="FG322"/>
      <c r="FH322"/>
      <c r="FI322"/>
      <c r="FJ322"/>
      <c r="FK322"/>
      <c r="FL322"/>
      <c r="FM322"/>
      <c r="FN322"/>
      <c r="FO322"/>
      <c r="FP322"/>
      <c r="FQ322"/>
      <c r="FR322"/>
      <c r="FS322"/>
      <c r="FT322"/>
      <c r="FU322"/>
      <c r="FV322"/>
      <c r="FW322"/>
      <c r="FX322"/>
      <c r="FY322"/>
      <c r="FZ322"/>
      <c r="GA322"/>
      <c r="GB322"/>
      <c r="GC322"/>
      <c r="GD322"/>
      <c r="GE322"/>
      <c r="GF322"/>
      <c r="GG322"/>
      <c r="GH322"/>
      <c r="GI322"/>
      <c r="GJ322"/>
      <c r="GK322"/>
      <c r="GL322"/>
      <c r="GM322"/>
      <c r="GN322"/>
      <c r="GO322"/>
      <c r="GP322"/>
      <c r="GQ322"/>
      <c r="GR322"/>
      <c r="GS322"/>
      <c r="GT322"/>
      <c r="GU322"/>
      <c r="GV322"/>
      <c r="GW322"/>
      <c r="GX322"/>
      <c r="GY322"/>
      <c r="GZ322"/>
      <c r="HA322"/>
      <c r="HB322"/>
      <c r="HC322"/>
      <c r="HD322"/>
      <c r="HE322"/>
      <c r="HF322"/>
      <c r="HG322"/>
      <c r="HH322"/>
      <c r="HI322"/>
      <c r="HJ322"/>
      <c r="HK322"/>
      <c r="HL322"/>
      <c r="HM322"/>
      <c r="HN322"/>
      <c r="HO322"/>
      <c r="HP322"/>
      <c r="HQ322"/>
      <c r="HR322"/>
      <c r="HS322"/>
      <c r="HT322"/>
      <c r="HU322"/>
      <c r="HV322"/>
      <c r="HW322"/>
      <c r="HX322"/>
      <c r="HY322"/>
      <c r="HZ322"/>
      <c r="IA322"/>
      <c r="IB322"/>
      <c r="IC322"/>
      <c r="ID322"/>
      <c r="IE322"/>
      <c r="IF322"/>
      <c r="IG322"/>
      <c r="IH322"/>
      <c r="II322"/>
      <c r="IJ322"/>
      <c r="IK322"/>
      <c r="IL322"/>
      <c r="IM322"/>
      <c r="IN322"/>
      <c r="IO322"/>
      <c r="IP322"/>
      <c r="IQ322"/>
      <c r="IR322"/>
      <c r="IS322"/>
      <c r="IT322"/>
      <c r="IU322"/>
      <c r="IV322"/>
      <c r="IW322"/>
      <c r="IX322"/>
      <c r="IY322"/>
      <c r="IZ322"/>
      <c r="JA322"/>
      <c r="JB322"/>
      <c r="JC322"/>
      <c r="JD322"/>
      <c r="JE322"/>
      <c r="JF322"/>
      <c r="JG322"/>
      <c r="JH322"/>
      <c r="JI322"/>
      <c r="JJ322"/>
      <c r="JK322"/>
      <c r="JL322"/>
      <c r="JM322"/>
      <c r="JN322"/>
      <c r="JO322"/>
      <c r="JP322"/>
      <c r="JQ322"/>
      <c r="JR322"/>
      <c r="JS322"/>
      <c r="JT322"/>
      <c r="JU322"/>
      <c r="JV322"/>
      <c r="JW322"/>
      <c r="JX322"/>
      <c r="JY322"/>
      <c r="JZ322"/>
      <c r="KA322"/>
      <c r="KB322"/>
      <c r="KC322"/>
      <c r="KD322"/>
      <c r="KE322"/>
      <c r="KF322"/>
      <c r="KG322"/>
      <c r="KH322"/>
      <c r="KI322"/>
      <c r="KJ322"/>
      <c r="KK322"/>
      <c r="KL322"/>
      <c r="KM322"/>
      <c r="KN322"/>
      <c r="KO322"/>
      <c r="KP322"/>
      <c r="KQ322"/>
      <c r="KR322"/>
      <c r="KS322"/>
    </row>
    <row r="323" spans="2:306" hidden="1" x14ac:dyDescent="0.25">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ER323"/>
      <c r="ES323"/>
      <c r="ET323"/>
      <c r="EU323"/>
      <c r="EV323"/>
      <c r="EW323"/>
      <c r="EX323"/>
      <c r="EY323"/>
      <c r="EZ323"/>
      <c r="FA323"/>
      <c r="FB323"/>
      <c r="FC323"/>
      <c r="FD323"/>
      <c r="FE323"/>
      <c r="FF323"/>
      <c r="FG323"/>
      <c r="FH323"/>
      <c r="FI323"/>
      <c r="FJ323"/>
      <c r="FK323"/>
      <c r="FL323"/>
      <c r="FM323"/>
      <c r="FN323"/>
      <c r="FO323"/>
      <c r="FP323"/>
      <c r="FQ323"/>
      <c r="FR323"/>
      <c r="FS323"/>
      <c r="FT323"/>
      <c r="FU323"/>
      <c r="FV323"/>
      <c r="FW323"/>
      <c r="FX323"/>
      <c r="FY323"/>
      <c r="FZ323"/>
      <c r="GA323"/>
      <c r="GB323"/>
      <c r="GC323"/>
      <c r="GD323"/>
      <c r="GE323"/>
      <c r="GF323"/>
      <c r="GG323"/>
      <c r="GH323"/>
      <c r="GI323"/>
      <c r="GJ323"/>
      <c r="GK323"/>
      <c r="GL323"/>
      <c r="GM323"/>
      <c r="GN323"/>
      <c r="GO323"/>
      <c r="GP323"/>
      <c r="GQ323"/>
      <c r="GR323"/>
      <c r="GS323"/>
      <c r="GT323"/>
      <c r="GU323"/>
      <c r="GV323"/>
      <c r="GW323"/>
      <c r="GX323"/>
      <c r="GY323"/>
      <c r="GZ323"/>
      <c r="HA323"/>
      <c r="HB323"/>
      <c r="HC323"/>
      <c r="HD323"/>
      <c r="HE323"/>
      <c r="HF323"/>
      <c r="HG323"/>
      <c r="HH323"/>
      <c r="HI323"/>
      <c r="HJ323"/>
      <c r="HK323"/>
      <c r="HL323"/>
      <c r="HM323"/>
      <c r="HN323"/>
      <c r="HO323"/>
      <c r="HP323"/>
      <c r="HQ323"/>
      <c r="HR323"/>
      <c r="HS323"/>
      <c r="HT323"/>
      <c r="HU323"/>
      <c r="HV323"/>
      <c r="HW323"/>
      <c r="HX323"/>
      <c r="HY323"/>
      <c r="HZ323"/>
      <c r="IA323"/>
      <c r="IB323"/>
      <c r="IC323"/>
      <c r="ID323"/>
      <c r="IE323"/>
      <c r="IF323"/>
      <c r="IG323"/>
      <c r="IH323"/>
      <c r="II323"/>
      <c r="IJ323"/>
      <c r="IK323"/>
      <c r="IL323"/>
      <c r="IM323"/>
      <c r="IN323"/>
      <c r="IO323"/>
      <c r="IP323"/>
      <c r="IQ323"/>
      <c r="IR323"/>
      <c r="IS323"/>
      <c r="IT323"/>
      <c r="IU323"/>
      <c r="IV323"/>
      <c r="IW323"/>
      <c r="IX323"/>
      <c r="IY323"/>
      <c r="IZ323"/>
      <c r="JA323"/>
      <c r="JB323"/>
      <c r="JC323"/>
      <c r="JD323"/>
      <c r="JE323"/>
      <c r="JF323"/>
      <c r="JG323"/>
      <c r="JH323"/>
      <c r="JI323"/>
      <c r="JJ323"/>
      <c r="JK323"/>
      <c r="JL323"/>
      <c r="JM323"/>
      <c r="JN323"/>
      <c r="JO323"/>
      <c r="JP323"/>
      <c r="JQ323"/>
      <c r="JR323"/>
      <c r="JS323"/>
      <c r="JT323"/>
      <c r="JU323"/>
      <c r="JV323"/>
      <c r="JW323"/>
      <c r="JX323"/>
      <c r="JY323"/>
      <c r="JZ323"/>
      <c r="KA323"/>
      <c r="KB323"/>
      <c r="KC323"/>
      <c r="KD323"/>
      <c r="KE323"/>
      <c r="KF323"/>
      <c r="KG323"/>
      <c r="KH323"/>
      <c r="KI323"/>
      <c r="KJ323"/>
      <c r="KK323"/>
      <c r="KL323"/>
      <c r="KM323"/>
      <c r="KN323"/>
      <c r="KO323"/>
      <c r="KP323"/>
      <c r="KQ323"/>
      <c r="KR323"/>
      <c r="KS323"/>
    </row>
    <row r="324" spans="2:306" hidden="1" x14ac:dyDescent="0.25">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ER324"/>
      <c r="ES324"/>
      <c r="ET324"/>
      <c r="EU324"/>
      <c r="EV324"/>
      <c r="EW324"/>
      <c r="EX324"/>
      <c r="EY324"/>
      <c r="EZ324"/>
      <c r="FA324"/>
      <c r="FB324"/>
      <c r="FC324"/>
      <c r="FD324"/>
      <c r="FE324"/>
      <c r="FF324"/>
      <c r="FG324"/>
      <c r="FH324"/>
      <c r="FI324"/>
      <c r="FJ324"/>
      <c r="FK324"/>
      <c r="FL324"/>
      <c r="FM324"/>
      <c r="FN324"/>
      <c r="FO324"/>
      <c r="FP324"/>
      <c r="FQ324"/>
      <c r="FR324"/>
      <c r="FS324"/>
      <c r="FT324"/>
      <c r="FU324"/>
      <c r="FV324"/>
      <c r="FW324"/>
      <c r="FX324"/>
      <c r="FY324"/>
      <c r="FZ324"/>
      <c r="GA324"/>
      <c r="GB324"/>
      <c r="GC324"/>
      <c r="GD324"/>
      <c r="GE324"/>
      <c r="GF324"/>
      <c r="GG324"/>
      <c r="GH324"/>
      <c r="GI324"/>
      <c r="GJ324"/>
      <c r="GK324"/>
      <c r="GL324"/>
      <c r="GM324"/>
      <c r="GN324"/>
      <c r="GO324"/>
      <c r="GP324"/>
      <c r="GQ324"/>
      <c r="GR324"/>
      <c r="GS324"/>
      <c r="GT324"/>
      <c r="GU324"/>
      <c r="GV324"/>
      <c r="GW324"/>
      <c r="GX324"/>
      <c r="GY324"/>
      <c r="GZ324"/>
      <c r="HA324"/>
      <c r="HB324"/>
      <c r="HC324"/>
      <c r="HD324"/>
      <c r="HE324"/>
      <c r="HF324"/>
      <c r="HG324"/>
      <c r="HH324"/>
      <c r="HI324"/>
      <c r="HJ324"/>
      <c r="HK324"/>
      <c r="HL324"/>
      <c r="HM324"/>
      <c r="HN324"/>
      <c r="HO324"/>
      <c r="HP324"/>
      <c r="HQ324"/>
      <c r="HR324"/>
      <c r="HS324"/>
      <c r="HT324"/>
      <c r="HU324"/>
      <c r="HV324"/>
      <c r="HW324"/>
      <c r="HX324"/>
      <c r="HY324"/>
      <c r="HZ324"/>
      <c r="IA324"/>
      <c r="IB324"/>
      <c r="IC324"/>
      <c r="ID324"/>
      <c r="IE324"/>
      <c r="IF324"/>
      <c r="IG324"/>
      <c r="IH324"/>
      <c r="II324"/>
      <c r="IJ324"/>
      <c r="IK324"/>
      <c r="IL324"/>
      <c r="IM324"/>
      <c r="IN324"/>
      <c r="IO324"/>
      <c r="IP324"/>
      <c r="IQ324"/>
      <c r="IR324"/>
      <c r="IS324"/>
      <c r="IT324"/>
      <c r="IU324"/>
      <c r="IV324"/>
      <c r="IW324"/>
      <c r="IX324"/>
      <c r="IY324"/>
      <c r="IZ324"/>
      <c r="JA324"/>
      <c r="JB324"/>
      <c r="JC324"/>
      <c r="JD324"/>
      <c r="JE324"/>
      <c r="JF324"/>
      <c r="JG324"/>
      <c r="JH324"/>
      <c r="JI324"/>
      <c r="JJ324"/>
      <c r="JK324"/>
      <c r="JL324"/>
      <c r="JM324"/>
      <c r="JN324"/>
      <c r="JO324"/>
      <c r="JP324"/>
      <c r="JQ324"/>
      <c r="JR324"/>
      <c r="JS324"/>
      <c r="JT324"/>
      <c r="JU324"/>
      <c r="JV324"/>
      <c r="JW324"/>
      <c r="JX324"/>
      <c r="JY324"/>
      <c r="JZ324"/>
      <c r="KA324"/>
      <c r="KB324"/>
      <c r="KC324"/>
      <c r="KD324"/>
      <c r="KE324"/>
      <c r="KF324"/>
      <c r="KG324"/>
      <c r="KH324"/>
      <c r="KI324"/>
      <c r="KJ324"/>
      <c r="KK324"/>
      <c r="KL324"/>
      <c r="KM324"/>
      <c r="KN324"/>
      <c r="KO324"/>
      <c r="KP324"/>
      <c r="KQ324"/>
      <c r="KR324"/>
      <c r="KS324"/>
    </row>
    <row r="325" spans="2:306" hidden="1" x14ac:dyDescent="0.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ER325"/>
      <c r="ES325"/>
      <c r="ET325"/>
      <c r="EU325"/>
      <c r="EV325"/>
      <c r="EW325"/>
      <c r="EX325"/>
      <c r="EY325"/>
      <c r="EZ325"/>
      <c r="FA325"/>
      <c r="FB325"/>
      <c r="FC325"/>
      <c r="FD325"/>
      <c r="FE325"/>
      <c r="FF325"/>
      <c r="FG325"/>
      <c r="FH325"/>
      <c r="FI325"/>
      <c r="FJ325"/>
      <c r="FK325"/>
      <c r="FL325"/>
      <c r="FM325"/>
      <c r="FN325"/>
      <c r="FO325"/>
      <c r="FP325"/>
      <c r="FQ325"/>
      <c r="FR325"/>
      <c r="FS325"/>
      <c r="FT325"/>
      <c r="FU325"/>
      <c r="FV325"/>
      <c r="FW325"/>
      <c r="FX325"/>
      <c r="FY325"/>
      <c r="FZ325"/>
      <c r="GA325"/>
      <c r="GB325"/>
      <c r="GC325"/>
      <c r="GD325"/>
      <c r="GE325"/>
      <c r="GF325"/>
      <c r="GG325"/>
      <c r="GH325"/>
      <c r="GI325"/>
      <c r="GJ325"/>
      <c r="GK325"/>
      <c r="GL325"/>
      <c r="GM325"/>
      <c r="GN325"/>
      <c r="GO325"/>
      <c r="GP325"/>
      <c r="GQ325"/>
      <c r="GR325"/>
      <c r="GS325"/>
      <c r="GT325"/>
      <c r="GU325"/>
      <c r="GV325"/>
      <c r="GW325"/>
      <c r="GX325"/>
      <c r="GY325"/>
      <c r="GZ325"/>
      <c r="HA325"/>
      <c r="HB325"/>
      <c r="HC325"/>
      <c r="HD325"/>
      <c r="HE325"/>
      <c r="HF325"/>
      <c r="HG325"/>
      <c r="HH325"/>
      <c r="HI325"/>
      <c r="HJ325"/>
      <c r="HK325"/>
      <c r="HL325"/>
      <c r="HM325"/>
      <c r="HN325"/>
      <c r="HO325"/>
      <c r="HP325"/>
      <c r="HQ325"/>
      <c r="HR325"/>
      <c r="HS325"/>
      <c r="HT325"/>
      <c r="HU325"/>
      <c r="HV325"/>
      <c r="HW325"/>
      <c r="HX325"/>
      <c r="HY325"/>
      <c r="HZ325"/>
      <c r="IA325"/>
      <c r="IB325"/>
      <c r="IC325"/>
      <c r="ID325"/>
      <c r="IE325"/>
      <c r="IF325"/>
      <c r="IG325"/>
      <c r="IH325"/>
      <c r="II325"/>
      <c r="IJ325"/>
      <c r="IK325"/>
      <c r="IL325"/>
      <c r="IM325"/>
      <c r="IN325"/>
      <c r="IO325"/>
      <c r="IP325"/>
      <c r="IQ325"/>
      <c r="IR325"/>
      <c r="IS325"/>
      <c r="IT325"/>
      <c r="IU325"/>
      <c r="IV325"/>
      <c r="IW325"/>
      <c r="IX325"/>
      <c r="IY325"/>
      <c r="IZ325"/>
      <c r="JA325"/>
      <c r="JB325"/>
      <c r="JC325"/>
      <c r="JD325"/>
      <c r="JE325"/>
      <c r="JF325"/>
      <c r="JG325"/>
      <c r="JH325"/>
      <c r="JI325"/>
      <c r="JJ325"/>
      <c r="JK325"/>
      <c r="JL325"/>
      <c r="JM325"/>
      <c r="JN325"/>
      <c r="JO325"/>
      <c r="JP325"/>
      <c r="JQ325"/>
      <c r="JR325"/>
      <c r="JS325"/>
      <c r="JT325"/>
      <c r="JU325"/>
      <c r="JV325"/>
      <c r="JW325"/>
      <c r="JX325"/>
      <c r="JY325"/>
      <c r="JZ325"/>
      <c r="KA325"/>
      <c r="KB325"/>
      <c r="KC325"/>
      <c r="KD325"/>
      <c r="KE325"/>
      <c r="KF325"/>
      <c r="KG325"/>
      <c r="KH325"/>
      <c r="KI325"/>
      <c r="KJ325"/>
      <c r="KK325"/>
      <c r="KL325"/>
      <c r="KM325"/>
      <c r="KN325"/>
      <c r="KO325"/>
      <c r="KP325"/>
      <c r="KQ325"/>
      <c r="KR325"/>
      <c r="KS325"/>
    </row>
    <row r="326" spans="2:306" hidden="1" x14ac:dyDescent="0.25">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ER326"/>
      <c r="ES326"/>
      <c r="ET326"/>
      <c r="EU326"/>
      <c r="EV326"/>
      <c r="EW326"/>
      <c r="EX326"/>
      <c r="EY326"/>
      <c r="EZ326"/>
      <c r="FA326"/>
      <c r="FB326"/>
      <c r="FC326"/>
      <c r="FD326"/>
      <c r="FE326"/>
      <c r="FF326"/>
      <c r="FG326"/>
      <c r="FH326"/>
      <c r="FI326"/>
      <c r="FJ326"/>
      <c r="FK326"/>
      <c r="FL326"/>
      <c r="FM326"/>
      <c r="FN326"/>
      <c r="FO326"/>
      <c r="FP326"/>
      <c r="FQ326"/>
      <c r="FR326"/>
      <c r="FS326"/>
      <c r="FT326"/>
      <c r="FU326"/>
      <c r="FV326"/>
      <c r="FW326"/>
      <c r="FX326"/>
      <c r="FY326"/>
      <c r="FZ326"/>
      <c r="GA326"/>
      <c r="GB326"/>
      <c r="GC326"/>
      <c r="GD326"/>
      <c r="GE326"/>
      <c r="GF326"/>
      <c r="GG326"/>
      <c r="GH326"/>
      <c r="GI326"/>
      <c r="GJ326"/>
      <c r="GK326"/>
      <c r="GL326"/>
      <c r="GM326"/>
      <c r="GN326"/>
      <c r="GO326"/>
      <c r="GP326"/>
      <c r="GQ326"/>
      <c r="GR326"/>
      <c r="GS326"/>
      <c r="GT326"/>
      <c r="GU326"/>
      <c r="GV326"/>
      <c r="GW326"/>
      <c r="GX326"/>
      <c r="GY326"/>
      <c r="GZ326"/>
      <c r="HA326"/>
      <c r="HB326"/>
      <c r="HC326"/>
      <c r="HD326"/>
      <c r="HE326"/>
      <c r="HF326"/>
      <c r="HG326"/>
      <c r="HH326"/>
      <c r="HI326"/>
      <c r="HJ326"/>
      <c r="HK326"/>
      <c r="HL326"/>
      <c r="HM326"/>
      <c r="HN326"/>
      <c r="HO326"/>
      <c r="HP326"/>
      <c r="HQ326"/>
      <c r="HR326"/>
      <c r="HS326"/>
      <c r="HT326"/>
      <c r="HU326"/>
      <c r="HV326"/>
      <c r="HW326"/>
      <c r="HX326"/>
      <c r="HY326"/>
      <c r="HZ326"/>
      <c r="IA326"/>
      <c r="IB326"/>
      <c r="IC326"/>
      <c r="ID326"/>
      <c r="IE326"/>
      <c r="IF326"/>
      <c r="IG326"/>
      <c r="IH326"/>
      <c r="II326"/>
      <c r="IJ326"/>
      <c r="IK326"/>
      <c r="IL326"/>
      <c r="IM326"/>
      <c r="IN326"/>
      <c r="IO326"/>
      <c r="IP326"/>
      <c r="IQ326"/>
      <c r="IR326"/>
      <c r="IS326"/>
      <c r="IT326"/>
      <c r="IU326"/>
      <c r="IV326"/>
      <c r="IW326"/>
      <c r="IX326"/>
      <c r="IY326"/>
      <c r="IZ326"/>
      <c r="JA326"/>
      <c r="JB326"/>
      <c r="JC326"/>
      <c r="JD326"/>
      <c r="JE326"/>
      <c r="JF326"/>
      <c r="JG326"/>
      <c r="JH326"/>
      <c r="JI326"/>
      <c r="JJ326"/>
      <c r="JK326"/>
      <c r="JL326"/>
      <c r="JM326"/>
      <c r="JN326"/>
      <c r="JO326"/>
      <c r="JP326"/>
      <c r="JQ326"/>
      <c r="JR326"/>
      <c r="JS326"/>
      <c r="JT326"/>
      <c r="JU326"/>
      <c r="JV326"/>
      <c r="JW326"/>
      <c r="JX326"/>
      <c r="JY326"/>
      <c r="JZ326"/>
      <c r="KA326"/>
      <c r="KB326"/>
      <c r="KC326"/>
      <c r="KD326"/>
      <c r="KE326"/>
      <c r="KF326"/>
      <c r="KG326"/>
      <c r="KH326"/>
      <c r="KI326"/>
      <c r="KJ326"/>
      <c r="KK326"/>
      <c r="KL326"/>
      <c r="KM326"/>
      <c r="KN326"/>
      <c r="KO326"/>
      <c r="KP326"/>
      <c r="KQ326"/>
      <c r="KR326"/>
      <c r="KS326"/>
    </row>
    <row r="327" spans="2:306" hidden="1" x14ac:dyDescent="0.25">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c r="ER327"/>
      <c r="ES327"/>
      <c r="ET327"/>
      <c r="EU327"/>
      <c r="EV327"/>
      <c r="EW327"/>
      <c r="EX327"/>
      <c r="EY327"/>
      <c r="EZ327"/>
      <c r="FA327"/>
      <c r="FB327"/>
      <c r="FC327"/>
      <c r="FD327"/>
      <c r="FE327"/>
      <c r="FF327"/>
      <c r="FG327"/>
      <c r="FH327"/>
      <c r="FI327"/>
      <c r="FJ327"/>
      <c r="FK327"/>
      <c r="FL327"/>
      <c r="FM327"/>
      <c r="FN327"/>
      <c r="FO327"/>
      <c r="FP327"/>
      <c r="FQ327"/>
      <c r="FR327"/>
      <c r="FS327"/>
      <c r="FT327"/>
      <c r="FU327"/>
      <c r="FV327"/>
      <c r="FW327"/>
      <c r="FX327"/>
      <c r="FY327"/>
      <c r="FZ327"/>
      <c r="GA327"/>
      <c r="GB327"/>
      <c r="GC327"/>
      <c r="GD327"/>
      <c r="GE327"/>
      <c r="GF327"/>
      <c r="GG327"/>
      <c r="GH327"/>
      <c r="GI327"/>
      <c r="GJ327"/>
      <c r="GK327"/>
      <c r="GL327"/>
      <c r="GM327"/>
      <c r="GN327"/>
      <c r="GO327"/>
      <c r="GP327"/>
      <c r="GQ327"/>
      <c r="GR327"/>
      <c r="GS327"/>
      <c r="GT327"/>
      <c r="GU327"/>
      <c r="GV327"/>
      <c r="GW327"/>
      <c r="GX327"/>
      <c r="GY327"/>
      <c r="GZ327"/>
      <c r="HA327"/>
      <c r="HB327"/>
      <c r="HC327"/>
      <c r="HD327"/>
      <c r="HE327"/>
      <c r="HF327"/>
      <c r="HG327"/>
      <c r="HH327"/>
      <c r="HI327"/>
      <c r="HJ327"/>
      <c r="HK327"/>
      <c r="HL327"/>
      <c r="HM327"/>
      <c r="HN327"/>
      <c r="HO327"/>
      <c r="HP327"/>
      <c r="HQ327"/>
      <c r="HR327"/>
      <c r="HS327"/>
      <c r="HT327"/>
      <c r="HU327"/>
      <c r="HV327"/>
      <c r="HW327"/>
      <c r="HX327"/>
      <c r="HY327"/>
      <c r="HZ327"/>
      <c r="IA327"/>
      <c r="IB327"/>
      <c r="IC327"/>
      <c r="ID327"/>
      <c r="IE327"/>
      <c r="IF327"/>
      <c r="IG327"/>
      <c r="IH327"/>
      <c r="II327"/>
      <c r="IJ327"/>
      <c r="IK327"/>
      <c r="IL327"/>
      <c r="IM327"/>
      <c r="IN327"/>
      <c r="IO327"/>
      <c r="IP327"/>
      <c r="IQ327"/>
      <c r="IR327"/>
      <c r="IS327"/>
      <c r="IT327"/>
      <c r="IU327"/>
      <c r="IV327"/>
      <c r="IW327"/>
      <c r="IX327"/>
      <c r="IY327"/>
      <c r="IZ327"/>
      <c r="JA327"/>
      <c r="JB327"/>
      <c r="JC327"/>
      <c r="JD327"/>
      <c r="JE327"/>
      <c r="JF327"/>
      <c r="JG327"/>
      <c r="JH327"/>
      <c r="JI327"/>
      <c r="JJ327"/>
      <c r="JK327"/>
      <c r="JL327"/>
      <c r="JM327"/>
      <c r="JN327"/>
      <c r="JO327"/>
      <c r="JP327"/>
      <c r="JQ327"/>
      <c r="JR327"/>
      <c r="JS327"/>
      <c r="JT327"/>
      <c r="JU327"/>
      <c r="JV327"/>
      <c r="JW327"/>
      <c r="JX327"/>
      <c r="JY327"/>
      <c r="JZ327"/>
      <c r="KA327"/>
      <c r="KB327"/>
      <c r="KC327"/>
      <c r="KD327"/>
      <c r="KE327"/>
      <c r="KF327"/>
      <c r="KG327"/>
      <c r="KH327"/>
      <c r="KI327"/>
      <c r="KJ327"/>
      <c r="KK327"/>
      <c r="KL327"/>
      <c r="KM327"/>
      <c r="KN327"/>
      <c r="KO327"/>
      <c r="KP327"/>
      <c r="KQ327"/>
      <c r="KR327"/>
      <c r="KS327"/>
    </row>
    <row r="328" spans="2:306" hidden="1" x14ac:dyDescent="0.25">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c r="EO328"/>
      <c r="EP328"/>
      <c r="EQ328"/>
      <c r="ER328"/>
      <c r="ES328"/>
      <c r="ET328"/>
      <c r="EU328"/>
      <c r="EV328"/>
      <c r="EW328"/>
      <c r="EX328"/>
      <c r="EY328"/>
      <c r="EZ328"/>
      <c r="FA328"/>
      <c r="FB328"/>
      <c r="FC328"/>
      <c r="FD328"/>
      <c r="FE328"/>
      <c r="FF328"/>
      <c r="FG328"/>
      <c r="FH328"/>
      <c r="FI328"/>
      <c r="FJ328"/>
      <c r="FK328"/>
      <c r="FL328"/>
      <c r="FM328"/>
      <c r="FN328"/>
      <c r="FO328"/>
      <c r="FP328"/>
      <c r="FQ328"/>
      <c r="FR328"/>
      <c r="FS328"/>
      <c r="FT328"/>
      <c r="FU328"/>
      <c r="FV328"/>
      <c r="FW328"/>
      <c r="FX328"/>
      <c r="FY328"/>
      <c r="FZ328"/>
      <c r="GA328"/>
      <c r="GB328"/>
      <c r="GC328"/>
      <c r="GD328"/>
      <c r="GE328"/>
      <c r="GF328"/>
      <c r="GG328"/>
      <c r="GH328"/>
      <c r="GI328"/>
      <c r="GJ328"/>
      <c r="GK328"/>
      <c r="GL328"/>
      <c r="GM328"/>
      <c r="GN328"/>
      <c r="GO328"/>
      <c r="GP328"/>
      <c r="GQ328"/>
      <c r="GR328"/>
      <c r="GS328"/>
      <c r="GT328"/>
      <c r="GU328"/>
      <c r="GV328"/>
      <c r="GW328"/>
      <c r="GX328"/>
      <c r="GY328"/>
      <c r="GZ328"/>
      <c r="HA328"/>
      <c r="HB328"/>
      <c r="HC328"/>
      <c r="HD328"/>
      <c r="HE328"/>
      <c r="HF328"/>
      <c r="HG328"/>
      <c r="HH328"/>
      <c r="HI328"/>
      <c r="HJ328"/>
      <c r="HK328"/>
      <c r="HL328"/>
      <c r="HM328"/>
      <c r="HN328"/>
      <c r="HO328"/>
      <c r="HP328"/>
      <c r="HQ328"/>
      <c r="HR328"/>
      <c r="HS328"/>
      <c r="HT328"/>
      <c r="HU328"/>
      <c r="HV328"/>
      <c r="HW328"/>
      <c r="HX328"/>
      <c r="HY328"/>
      <c r="HZ328"/>
      <c r="IA328"/>
      <c r="IB328"/>
      <c r="IC328"/>
      <c r="ID328"/>
      <c r="IE328"/>
      <c r="IF328"/>
      <c r="IG328"/>
      <c r="IH328"/>
      <c r="II328"/>
      <c r="IJ328"/>
      <c r="IK328"/>
      <c r="IL328"/>
      <c r="IM328"/>
      <c r="IN328"/>
      <c r="IO328"/>
      <c r="IP328"/>
      <c r="IQ328"/>
      <c r="IR328"/>
      <c r="IS328"/>
      <c r="IT328"/>
      <c r="IU328"/>
      <c r="IV328"/>
      <c r="IW328"/>
      <c r="IX328"/>
      <c r="IY328"/>
      <c r="IZ328"/>
      <c r="JA328"/>
      <c r="JB328"/>
      <c r="JC328"/>
      <c r="JD328"/>
      <c r="JE328"/>
      <c r="JF328"/>
      <c r="JG328"/>
      <c r="JH328"/>
      <c r="JI328"/>
      <c r="JJ328"/>
      <c r="JK328"/>
      <c r="JL328"/>
      <c r="JM328"/>
      <c r="JN328"/>
      <c r="JO328"/>
      <c r="JP328"/>
      <c r="JQ328"/>
      <c r="JR328"/>
      <c r="JS328"/>
      <c r="JT328"/>
      <c r="JU328"/>
      <c r="JV328"/>
      <c r="JW328"/>
      <c r="JX328"/>
      <c r="JY328"/>
      <c r="JZ328"/>
      <c r="KA328"/>
      <c r="KB328"/>
      <c r="KC328"/>
      <c r="KD328"/>
      <c r="KE328"/>
      <c r="KF328"/>
      <c r="KG328"/>
      <c r="KH328"/>
      <c r="KI328"/>
      <c r="KJ328"/>
      <c r="KK328"/>
      <c r="KL328"/>
      <c r="KM328"/>
      <c r="KN328"/>
      <c r="KO328"/>
      <c r="KP328"/>
      <c r="KQ328"/>
      <c r="KR328"/>
      <c r="KS328"/>
    </row>
    <row r="329" spans="2:306" hidden="1" x14ac:dyDescent="0.25">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c r="ER329"/>
      <c r="ES329"/>
      <c r="ET329"/>
      <c r="EU329"/>
      <c r="EV329"/>
      <c r="EW329"/>
      <c r="EX329"/>
      <c r="EY329"/>
      <c r="EZ329"/>
      <c r="FA329"/>
      <c r="FB329"/>
      <c r="FC329"/>
      <c r="FD329"/>
      <c r="FE329"/>
      <c r="FF329"/>
      <c r="FG329"/>
      <c r="FH329"/>
      <c r="FI329"/>
      <c r="FJ329"/>
      <c r="FK329"/>
      <c r="FL329"/>
      <c r="FM329"/>
      <c r="FN329"/>
      <c r="FO329"/>
      <c r="FP329"/>
      <c r="FQ329"/>
      <c r="FR329"/>
      <c r="FS329"/>
      <c r="FT329"/>
      <c r="FU329"/>
      <c r="FV329"/>
      <c r="FW329"/>
      <c r="FX329"/>
      <c r="FY329"/>
      <c r="FZ329"/>
      <c r="GA329"/>
      <c r="GB329"/>
      <c r="GC329"/>
      <c r="GD329"/>
      <c r="GE329"/>
      <c r="GF329"/>
      <c r="GG329"/>
      <c r="GH329"/>
      <c r="GI329"/>
      <c r="GJ329"/>
      <c r="GK329"/>
      <c r="GL329"/>
      <c r="GM329"/>
      <c r="GN329"/>
      <c r="GO329"/>
      <c r="GP329"/>
      <c r="GQ329"/>
      <c r="GR329"/>
      <c r="GS329"/>
      <c r="GT329"/>
      <c r="GU329"/>
      <c r="GV329"/>
      <c r="GW329"/>
      <c r="GX329"/>
      <c r="GY329"/>
      <c r="GZ329"/>
      <c r="HA329"/>
      <c r="HB329"/>
      <c r="HC329"/>
      <c r="HD329"/>
      <c r="HE329"/>
      <c r="HF329"/>
      <c r="HG329"/>
      <c r="HH329"/>
      <c r="HI329"/>
      <c r="HJ329"/>
      <c r="HK329"/>
      <c r="HL329"/>
      <c r="HM329"/>
      <c r="HN329"/>
      <c r="HO329"/>
      <c r="HP329"/>
      <c r="HQ329"/>
      <c r="HR329"/>
      <c r="HS329"/>
      <c r="HT329"/>
      <c r="HU329"/>
      <c r="HV329"/>
      <c r="HW329"/>
      <c r="HX329"/>
      <c r="HY329"/>
      <c r="HZ329"/>
      <c r="IA329"/>
      <c r="IB329"/>
      <c r="IC329"/>
      <c r="ID329"/>
      <c r="IE329"/>
      <c r="IF329"/>
      <c r="IG329"/>
      <c r="IH329"/>
      <c r="II329"/>
      <c r="IJ329"/>
      <c r="IK329"/>
      <c r="IL329"/>
      <c r="IM329"/>
      <c r="IN329"/>
      <c r="IO329"/>
      <c r="IP329"/>
      <c r="IQ329"/>
      <c r="IR329"/>
      <c r="IS329"/>
      <c r="IT329"/>
      <c r="IU329"/>
      <c r="IV329"/>
      <c r="IW329"/>
      <c r="IX329"/>
      <c r="IY329"/>
      <c r="IZ329"/>
      <c r="JA329"/>
      <c r="JB329"/>
      <c r="JC329"/>
      <c r="JD329"/>
      <c r="JE329"/>
      <c r="JF329"/>
      <c r="JG329"/>
      <c r="JH329"/>
      <c r="JI329"/>
      <c r="JJ329"/>
      <c r="JK329"/>
      <c r="JL329"/>
      <c r="JM329"/>
      <c r="JN329"/>
      <c r="JO329"/>
      <c r="JP329"/>
      <c r="JQ329"/>
      <c r="JR329"/>
      <c r="JS329"/>
      <c r="JT329"/>
      <c r="JU329"/>
      <c r="JV329"/>
      <c r="JW329"/>
      <c r="JX329"/>
      <c r="JY329"/>
      <c r="JZ329"/>
      <c r="KA329"/>
      <c r="KB329"/>
      <c r="KC329"/>
      <c r="KD329"/>
      <c r="KE329"/>
      <c r="KF329"/>
      <c r="KG329"/>
      <c r="KH329"/>
      <c r="KI329"/>
      <c r="KJ329"/>
      <c r="KK329"/>
      <c r="KL329"/>
      <c r="KM329"/>
      <c r="KN329"/>
      <c r="KO329"/>
      <c r="KP329"/>
      <c r="KQ329"/>
      <c r="KR329"/>
      <c r="KS329"/>
    </row>
    <row r="330" spans="2:306" hidden="1" x14ac:dyDescent="0.25">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ER330"/>
      <c r="ES330"/>
      <c r="ET330"/>
      <c r="EU330"/>
      <c r="EV330"/>
      <c r="EW330"/>
      <c r="EX330"/>
      <c r="EY330"/>
      <c r="EZ330"/>
      <c r="FA330"/>
      <c r="FB330"/>
      <c r="FC330"/>
      <c r="FD330"/>
      <c r="FE330"/>
      <c r="FF330"/>
      <c r="FG330"/>
      <c r="FH330"/>
      <c r="FI330"/>
      <c r="FJ330"/>
      <c r="FK330"/>
      <c r="FL330"/>
      <c r="FM330"/>
      <c r="FN330"/>
      <c r="FO330"/>
      <c r="FP330"/>
      <c r="FQ330"/>
      <c r="FR330"/>
      <c r="FS330"/>
      <c r="FT330"/>
      <c r="FU330"/>
      <c r="FV330"/>
      <c r="FW330"/>
      <c r="FX330"/>
      <c r="FY330"/>
      <c r="FZ330"/>
      <c r="GA330"/>
      <c r="GB330"/>
      <c r="GC330"/>
      <c r="GD330"/>
      <c r="GE330"/>
      <c r="GF330"/>
      <c r="GG330"/>
      <c r="GH330"/>
      <c r="GI330"/>
      <c r="GJ330"/>
      <c r="GK330"/>
      <c r="GL330"/>
      <c r="GM330"/>
      <c r="GN330"/>
      <c r="GO330"/>
      <c r="GP330"/>
      <c r="GQ330"/>
      <c r="GR330"/>
      <c r="GS330"/>
      <c r="GT330"/>
      <c r="GU330"/>
      <c r="GV330"/>
      <c r="GW330"/>
      <c r="GX330"/>
      <c r="GY330"/>
      <c r="GZ330"/>
      <c r="HA330"/>
      <c r="HB330"/>
      <c r="HC330"/>
      <c r="HD330"/>
      <c r="HE330"/>
      <c r="HF330"/>
      <c r="HG330"/>
      <c r="HH330"/>
      <c r="HI330"/>
      <c r="HJ330"/>
      <c r="HK330"/>
      <c r="HL330"/>
      <c r="HM330"/>
      <c r="HN330"/>
      <c r="HO330"/>
      <c r="HP330"/>
      <c r="HQ330"/>
      <c r="HR330"/>
      <c r="HS330"/>
      <c r="HT330"/>
      <c r="HU330"/>
      <c r="HV330"/>
      <c r="HW330"/>
      <c r="HX330"/>
      <c r="HY330"/>
      <c r="HZ330"/>
      <c r="IA330"/>
      <c r="IB330"/>
      <c r="IC330"/>
      <c r="ID330"/>
      <c r="IE330"/>
      <c r="IF330"/>
      <c r="IG330"/>
      <c r="IH330"/>
      <c r="II330"/>
      <c r="IJ330"/>
      <c r="IK330"/>
      <c r="IL330"/>
      <c r="IM330"/>
      <c r="IN330"/>
      <c r="IO330"/>
      <c r="IP330"/>
      <c r="IQ330"/>
      <c r="IR330"/>
      <c r="IS330"/>
      <c r="IT330"/>
      <c r="IU330"/>
      <c r="IV330"/>
      <c r="IW330"/>
      <c r="IX330"/>
      <c r="IY330"/>
      <c r="IZ330"/>
      <c r="JA330"/>
      <c r="JB330"/>
      <c r="JC330"/>
      <c r="JD330"/>
      <c r="JE330"/>
      <c r="JF330"/>
      <c r="JG330"/>
      <c r="JH330"/>
      <c r="JI330"/>
      <c r="JJ330"/>
      <c r="JK330"/>
      <c r="JL330"/>
      <c r="JM330"/>
      <c r="JN330"/>
      <c r="JO330"/>
      <c r="JP330"/>
      <c r="JQ330"/>
      <c r="JR330"/>
      <c r="JS330"/>
      <c r="JT330"/>
      <c r="JU330"/>
      <c r="JV330"/>
      <c r="JW330"/>
      <c r="JX330"/>
      <c r="JY330"/>
      <c r="JZ330"/>
      <c r="KA330"/>
      <c r="KB330"/>
      <c r="KC330"/>
      <c r="KD330"/>
      <c r="KE330"/>
      <c r="KF330"/>
      <c r="KG330"/>
      <c r="KH330"/>
      <c r="KI330"/>
      <c r="KJ330"/>
      <c r="KK330"/>
      <c r="KL330"/>
      <c r="KM330"/>
      <c r="KN330"/>
      <c r="KO330"/>
      <c r="KP330"/>
      <c r="KQ330"/>
      <c r="KR330"/>
      <c r="KS330"/>
    </row>
    <row r="331" spans="2:306" hidden="1" x14ac:dyDescent="0.25">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ER331"/>
      <c r="ES331"/>
      <c r="ET331"/>
      <c r="EU331"/>
      <c r="EV331"/>
      <c r="EW331"/>
      <c r="EX331"/>
      <c r="EY331"/>
      <c r="EZ331"/>
      <c r="FA331"/>
      <c r="FB331"/>
      <c r="FC331"/>
      <c r="FD331"/>
      <c r="FE331"/>
      <c r="FF331"/>
      <c r="FG331"/>
      <c r="FH331"/>
      <c r="FI331"/>
      <c r="FJ331"/>
      <c r="FK331"/>
      <c r="FL331"/>
      <c r="FM331"/>
      <c r="FN331"/>
      <c r="FO331"/>
      <c r="FP331"/>
      <c r="FQ331"/>
      <c r="FR331"/>
      <c r="FS331"/>
      <c r="FT331"/>
      <c r="FU331"/>
      <c r="FV331"/>
      <c r="FW331"/>
      <c r="FX331"/>
      <c r="FY331"/>
      <c r="FZ331"/>
      <c r="GA331"/>
      <c r="GB331"/>
      <c r="GC331"/>
      <c r="GD331"/>
      <c r="GE331"/>
      <c r="GF331"/>
      <c r="GG331"/>
      <c r="GH331"/>
      <c r="GI331"/>
      <c r="GJ331"/>
      <c r="GK331"/>
      <c r="GL331"/>
      <c r="GM331"/>
      <c r="GN331"/>
      <c r="GO331"/>
      <c r="GP331"/>
      <c r="GQ331"/>
      <c r="GR331"/>
      <c r="GS331"/>
      <c r="GT331"/>
      <c r="GU331"/>
      <c r="GV331"/>
      <c r="GW331"/>
      <c r="GX331"/>
      <c r="GY331"/>
      <c r="GZ331"/>
      <c r="HA331"/>
      <c r="HB331"/>
      <c r="HC331"/>
      <c r="HD331"/>
      <c r="HE331"/>
      <c r="HF331"/>
      <c r="HG331"/>
      <c r="HH331"/>
      <c r="HI331"/>
      <c r="HJ331"/>
      <c r="HK331"/>
      <c r="HL331"/>
      <c r="HM331"/>
      <c r="HN331"/>
      <c r="HO331"/>
      <c r="HP331"/>
      <c r="HQ331"/>
      <c r="HR331"/>
      <c r="HS331"/>
      <c r="HT331"/>
      <c r="HU331"/>
      <c r="HV331"/>
      <c r="HW331"/>
      <c r="HX331"/>
      <c r="HY331"/>
      <c r="HZ331"/>
      <c r="IA331"/>
      <c r="IB331"/>
      <c r="IC331"/>
      <c r="ID331"/>
      <c r="IE331"/>
      <c r="IF331"/>
      <c r="IG331"/>
      <c r="IH331"/>
      <c r="II331"/>
      <c r="IJ331"/>
      <c r="IK331"/>
      <c r="IL331"/>
      <c r="IM331"/>
      <c r="IN331"/>
      <c r="IO331"/>
      <c r="IP331"/>
      <c r="IQ331"/>
      <c r="IR331"/>
      <c r="IS331"/>
      <c r="IT331"/>
      <c r="IU331"/>
      <c r="IV331"/>
      <c r="IW331"/>
      <c r="IX331"/>
      <c r="IY331"/>
      <c r="IZ331"/>
      <c r="JA331"/>
      <c r="JB331"/>
      <c r="JC331"/>
      <c r="JD331"/>
      <c r="JE331"/>
      <c r="JF331"/>
      <c r="JG331"/>
      <c r="JH331"/>
      <c r="JI331"/>
      <c r="JJ331"/>
      <c r="JK331"/>
      <c r="JL331"/>
      <c r="JM331"/>
      <c r="JN331"/>
      <c r="JO331"/>
      <c r="JP331"/>
      <c r="JQ331"/>
      <c r="JR331"/>
      <c r="JS331"/>
      <c r="JT331"/>
      <c r="JU331"/>
      <c r="JV331"/>
      <c r="JW331"/>
      <c r="JX331"/>
      <c r="JY331"/>
      <c r="JZ331"/>
      <c r="KA331"/>
      <c r="KB331"/>
      <c r="KC331"/>
      <c r="KD331"/>
      <c r="KE331"/>
      <c r="KF331"/>
      <c r="KG331"/>
      <c r="KH331"/>
      <c r="KI331"/>
      <c r="KJ331"/>
      <c r="KK331"/>
      <c r="KL331"/>
      <c r="KM331"/>
      <c r="KN331"/>
      <c r="KO331"/>
      <c r="KP331"/>
      <c r="KQ331"/>
      <c r="KR331"/>
      <c r="KS331"/>
    </row>
    <row r="332" spans="2:306" hidden="1" x14ac:dyDescent="0.25">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c r="ER332"/>
      <c r="ES332"/>
      <c r="ET332"/>
      <c r="EU332"/>
      <c r="EV332"/>
      <c r="EW332"/>
      <c r="EX332"/>
      <c r="EY332"/>
      <c r="EZ332"/>
      <c r="FA332"/>
      <c r="FB332"/>
      <c r="FC332"/>
      <c r="FD332"/>
      <c r="FE332"/>
      <c r="FF332"/>
      <c r="FG332"/>
      <c r="FH332"/>
      <c r="FI332"/>
      <c r="FJ332"/>
      <c r="FK332"/>
      <c r="FL332"/>
      <c r="FM332"/>
      <c r="FN332"/>
      <c r="FO332"/>
      <c r="FP332"/>
      <c r="FQ332"/>
      <c r="FR332"/>
      <c r="FS332"/>
      <c r="FT332"/>
      <c r="FU332"/>
      <c r="FV332"/>
      <c r="FW332"/>
      <c r="FX332"/>
      <c r="FY332"/>
      <c r="FZ332"/>
      <c r="GA332"/>
      <c r="GB332"/>
      <c r="GC332"/>
      <c r="GD332"/>
      <c r="GE332"/>
      <c r="GF332"/>
      <c r="GG332"/>
      <c r="GH332"/>
      <c r="GI332"/>
      <c r="GJ332"/>
      <c r="GK332"/>
      <c r="GL332"/>
      <c r="GM332"/>
      <c r="GN332"/>
      <c r="GO332"/>
      <c r="GP332"/>
      <c r="GQ332"/>
      <c r="GR332"/>
      <c r="GS332"/>
      <c r="GT332"/>
      <c r="GU332"/>
      <c r="GV332"/>
      <c r="GW332"/>
      <c r="GX332"/>
      <c r="GY332"/>
      <c r="GZ332"/>
      <c r="HA332"/>
      <c r="HB332"/>
      <c r="HC332"/>
      <c r="HD332"/>
      <c r="HE332"/>
      <c r="HF332"/>
      <c r="HG332"/>
      <c r="HH332"/>
      <c r="HI332"/>
      <c r="HJ332"/>
      <c r="HK332"/>
      <c r="HL332"/>
      <c r="HM332"/>
      <c r="HN332"/>
      <c r="HO332"/>
      <c r="HP332"/>
      <c r="HQ332"/>
      <c r="HR332"/>
      <c r="HS332"/>
      <c r="HT332"/>
      <c r="HU332"/>
      <c r="HV332"/>
      <c r="HW332"/>
      <c r="HX332"/>
      <c r="HY332"/>
      <c r="HZ332"/>
      <c r="IA332"/>
      <c r="IB332"/>
      <c r="IC332"/>
      <c r="ID332"/>
      <c r="IE332"/>
      <c r="IF332"/>
      <c r="IG332"/>
      <c r="IH332"/>
      <c r="II332"/>
      <c r="IJ332"/>
      <c r="IK332"/>
      <c r="IL332"/>
      <c r="IM332"/>
      <c r="IN332"/>
      <c r="IO332"/>
      <c r="IP332"/>
      <c r="IQ332"/>
      <c r="IR332"/>
      <c r="IS332"/>
      <c r="IT332"/>
      <c r="IU332"/>
      <c r="IV332"/>
      <c r="IW332"/>
      <c r="IX332"/>
      <c r="IY332"/>
      <c r="IZ332"/>
      <c r="JA332"/>
      <c r="JB332"/>
      <c r="JC332"/>
      <c r="JD332"/>
      <c r="JE332"/>
      <c r="JF332"/>
      <c r="JG332"/>
      <c r="JH332"/>
      <c r="JI332"/>
      <c r="JJ332"/>
      <c r="JK332"/>
      <c r="JL332"/>
      <c r="JM332"/>
      <c r="JN332"/>
      <c r="JO332"/>
      <c r="JP332"/>
      <c r="JQ332"/>
      <c r="JR332"/>
      <c r="JS332"/>
      <c r="JT332"/>
      <c r="JU332"/>
      <c r="JV332"/>
      <c r="JW332"/>
      <c r="JX332"/>
      <c r="JY332"/>
      <c r="JZ332"/>
      <c r="KA332"/>
      <c r="KB332"/>
      <c r="KC332"/>
      <c r="KD332"/>
      <c r="KE332"/>
      <c r="KF332"/>
      <c r="KG332"/>
      <c r="KH332"/>
      <c r="KI332"/>
      <c r="KJ332"/>
      <c r="KK332"/>
      <c r="KL332"/>
      <c r="KM332"/>
      <c r="KN332"/>
      <c r="KO332"/>
      <c r="KP332"/>
      <c r="KQ332"/>
      <c r="KR332"/>
      <c r="KS332"/>
    </row>
    <row r="333" spans="2:306" hidden="1" x14ac:dyDescent="0.25">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c r="EO333"/>
      <c r="EP333"/>
      <c r="EQ333"/>
      <c r="ER333"/>
      <c r="ES333"/>
      <c r="ET333"/>
      <c r="EU333"/>
      <c r="EV333"/>
      <c r="EW333"/>
      <c r="EX333"/>
      <c r="EY333"/>
      <c r="EZ333"/>
      <c r="FA333"/>
      <c r="FB333"/>
      <c r="FC333"/>
      <c r="FD333"/>
      <c r="FE333"/>
      <c r="FF333"/>
      <c r="FG333"/>
      <c r="FH333"/>
      <c r="FI333"/>
      <c r="FJ333"/>
      <c r="FK333"/>
      <c r="FL333"/>
      <c r="FM333"/>
      <c r="FN333"/>
      <c r="FO333"/>
      <c r="FP333"/>
      <c r="FQ333"/>
      <c r="FR333"/>
      <c r="FS333"/>
      <c r="FT333"/>
      <c r="FU333"/>
      <c r="FV333"/>
      <c r="FW333"/>
      <c r="FX333"/>
      <c r="FY333"/>
      <c r="FZ333"/>
      <c r="GA333"/>
      <c r="GB333"/>
      <c r="GC333"/>
      <c r="GD333"/>
      <c r="GE333"/>
      <c r="GF333"/>
      <c r="GG333"/>
      <c r="GH333"/>
      <c r="GI333"/>
      <c r="GJ333"/>
      <c r="GK333"/>
      <c r="GL333"/>
      <c r="GM333"/>
      <c r="GN333"/>
      <c r="GO333"/>
      <c r="GP333"/>
      <c r="GQ333"/>
      <c r="GR333"/>
      <c r="GS333"/>
      <c r="GT333"/>
      <c r="GU333"/>
      <c r="GV333"/>
      <c r="GW333"/>
      <c r="GX333"/>
      <c r="GY333"/>
      <c r="GZ333"/>
      <c r="HA333"/>
      <c r="HB333"/>
      <c r="HC333"/>
      <c r="HD333"/>
      <c r="HE333"/>
      <c r="HF333"/>
      <c r="HG333"/>
      <c r="HH333"/>
      <c r="HI333"/>
      <c r="HJ333"/>
      <c r="HK333"/>
      <c r="HL333"/>
      <c r="HM333"/>
      <c r="HN333"/>
      <c r="HO333"/>
      <c r="HP333"/>
      <c r="HQ333"/>
      <c r="HR333"/>
      <c r="HS333"/>
      <c r="HT333"/>
      <c r="HU333"/>
      <c r="HV333"/>
      <c r="HW333"/>
      <c r="HX333"/>
      <c r="HY333"/>
      <c r="HZ333"/>
      <c r="IA333"/>
      <c r="IB333"/>
      <c r="IC333"/>
      <c r="ID333"/>
      <c r="IE333"/>
      <c r="IF333"/>
      <c r="IG333"/>
      <c r="IH333"/>
      <c r="II333"/>
      <c r="IJ333"/>
      <c r="IK333"/>
      <c r="IL333"/>
      <c r="IM333"/>
      <c r="IN333"/>
      <c r="IO333"/>
      <c r="IP333"/>
      <c r="IQ333"/>
      <c r="IR333"/>
      <c r="IS333"/>
      <c r="IT333"/>
      <c r="IU333"/>
      <c r="IV333"/>
      <c r="IW333"/>
      <c r="IX333"/>
      <c r="IY333"/>
      <c r="IZ333"/>
      <c r="JA333"/>
      <c r="JB333"/>
      <c r="JC333"/>
      <c r="JD333"/>
      <c r="JE333"/>
      <c r="JF333"/>
      <c r="JG333"/>
      <c r="JH333"/>
      <c r="JI333"/>
      <c r="JJ333"/>
      <c r="JK333"/>
      <c r="JL333"/>
      <c r="JM333"/>
      <c r="JN333"/>
      <c r="JO333"/>
      <c r="JP333"/>
      <c r="JQ333"/>
      <c r="JR333"/>
      <c r="JS333"/>
      <c r="JT333"/>
      <c r="JU333"/>
      <c r="JV333"/>
      <c r="JW333"/>
      <c r="JX333"/>
      <c r="JY333"/>
      <c r="JZ333"/>
      <c r="KA333"/>
      <c r="KB333"/>
      <c r="KC333"/>
      <c r="KD333"/>
      <c r="KE333"/>
      <c r="KF333"/>
      <c r="KG333"/>
      <c r="KH333"/>
      <c r="KI333"/>
      <c r="KJ333"/>
      <c r="KK333"/>
      <c r="KL333"/>
      <c r="KM333"/>
      <c r="KN333"/>
      <c r="KO333"/>
      <c r="KP333"/>
      <c r="KQ333"/>
      <c r="KR333"/>
      <c r="KS333"/>
    </row>
    <row r="334" spans="2:306" hidden="1" x14ac:dyDescent="0.25">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c r="EO334"/>
      <c r="EP334"/>
      <c r="EQ334"/>
      <c r="ER334"/>
      <c r="ES334"/>
      <c r="ET334"/>
      <c r="EU334"/>
      <c r="EV334"/>
      <c r="EW334"/>
      <c r="EX334"/>
      <c r="EY334"/>
      <c r="EZ334"/>
      <c r="FA334"/>
      <c r="FB334"/>
      <c r="FC334"/>
      <c r="FD334"/>
      <c r="FE334"/>
      <c r="FF334"/>
      <c r="FG334"/>
      <c r="FH334"/>
      <c r="FI334"/>
      <c r="FJ334"/>
      <c r="FK334"/>
      <c r="FL334"/>
      <c r="FM334"/>
      <c r="FN334"/>
      <c r="FO334"/>
      <c r="FP334"/>
      <c r="FQ334"/>
      <c r="FR334"/>
      <c r="FS334"/>
      <c r="FT334"/>
      <c r="FU334"/>
      <c r="FV334"/>
      <c r="FW334"/>
      <c r="FX334"/>
      <c r="FY334"/>
      <c r="FZ334"/>
      <c r="GA334"/>
      <c r="GB334"/>
      <c r="GC334"/>
      <c r="GD334"/>
      <c r="GE334"/>
      <c r="GF334"/>
      <c r="GG334"/>
      <c r="GH334"/>
      <c r="GI334"/>
      <c r="GJ334"/>
      <c r="GK334"/>
      <c r="GL334"/>
      <c r="GM334"/>
      <c r="GN334"/>
      <c r="GO334"/>
      <c r="GP334"/>
      <c r="GQ334"/>
      <c r="GR334"/>
      <c r="GS334"/>
      <c r="GT334"/>
      <c r="GU334"/>
      <c r="GV334"/>
      <c r="GW334"/>
      <c r="GX334"/>
      <c r="GY334"/>
      <c r="GZ334"/>
      <c r="HA334"/>
      <c r="HB334"/>
      <c r="HC334"/>
      <c r="HD334"/>
      <c r="HE334"/>
      <c r="HF334"/>
      <c r="HG334"/>
      <c r="HH334"/>
      <c r="HI334"/>
      <c r="HJ334"/>
      <c r="HK334"/>
      <c r="HL334"/>
      <c r="HM334"/>
      <c r="HN334"/>
      <c r="HO334"/>
      <c r="HP334"/>
      <c r="HQ334"/>
      <c r="HR334"/>
      <c r="HS334"/>
      <c r="HT334"/>
      <c r="HU334"/>
      <c r="HV334"/>
      <c r="HW334"/>
      <c r="HX334"/>
      <c r="HY334"/>
      <c r="HZ334"/>
      <c r="IA334"/>
      <c r="IB334"/>
      <c r="IC334"/>
      <c r="ID334"/>
      <c r="IE334"/>
      <c r="IF334"/>
      <c r="IG334"/>
      <c r="IH334"/>
      <c r="II334"/>
      <c r="IJ334"/>
      <c r="IK334"/>
      <c r="IL334"/>
      <c r="IM334"/>
      <c r="IN334"/>
      <c r="IO334"/>
      <c r="IP334"/>
      <c r="IQ334"/>
      <c r="IR334"/>
      <c r="IS334"/>
      <c r="IT334"/>
      <c r="IU334"/>
      <c r="IV334"/>
      <c r="IW334"/>
      <c r="IX334"/>
      <c r="IY334"/>
      <c r="IZ334"/>
      <c r="JA334"/>
      <c r="JB334"/>
      <c r="JC334"/>
      <c r="JD334"/>
      <c r="JE334"/>
      <c r="JF334"/>
      <c r="JG334"/>
      <c r="JH334"/>
      <c r="JI334"/>
      <c r="JJ334"/>
      <c r="JK334"/>
      <c r="JL334"/>
      <c r="JM334"/>
      <c r="JN334"/>
      <c r="JO334"/>
      <c r="JP334"/>
      <c r="JQ334"/>
      <c r="JR334"/>
      <c r="JS334"/>
      <c r="JT334"/>
      <c r="JU334"/>
      <c r="JV334"/>
      <c r="JW334"/>
      <c r="JX334"/>
      <c r="JY334"/>
      <c r="JZ334"/>
      <c r="KA334"/>
      <c r="KB334"/>
      <c r="KC334"/>
      <c r="KD334"/>
      <c r="KE334"/>
      <c r="KF334"/>
      <c r="KG334"/>
      <c r="KH334"/>
      <c r="KI334"/>
      <c r="KJ334"/>
      <c r="KK334"/>
      <c r="KL334"/>
      <c r="KM334"/>
      <c r="KN334"/>
      <c r="KO334"/>
      <c r="KP334"/>
      <c r="KQ334"/>
      <c r="KR334"/>
      <c r="KS334"/>
      <c r="KT334"/>
    </row>
    <row r="335" spans="2:306" hidden="1" x14ac:dyDescent="0.2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c r="EO335"/>
      <c r="EP335"/>
      <c r="EQ335"/>
      <c r="ER335"/>
      <c r="ES335"/>
      <c r="ET335"/>
      <c r="EU335"/>
      <c r="EV335"/>
      <c r="EW335"/>
      <c r="EX335"/>
      <c r="EY335"/>
      <c r="EZ335"/>
      <c r="FA335"/>
      <c r="FB335"/>
      <c r="FC335"/>
      <c r="FD335"/>
      <c r="FE335"/>
      <c r="FF335"/>
      <c r="FG335"/>
      <c r="FH335"/>
      <c r="FI335"/>
      <c r="FJ335"/>
      <c r="FK335"/>
      <c r="FL335"/>
      <c r="FM335"/>
      <c r="FN335"/>
      <c r="FO335"/>
      <c r="FP335"/>
      <c r="FQ335"/>
      <c r="FR335"/>
      <c r="FS335"/>
      <c r="FT335"/>
      <c r="FU335"/>
      <c r="FV335"/>
      <c r="FW335"/>
      <c r="FX335"/>
      <c r="FY335"/>
      <c r="FZ335"/>
      <c r="GA335"/>
      <c r="GB335"/>
      <c r="GC335"/>
      <c r="GD335"/>
      <c r="GE335"/>
      <c r="GF335"/>
      <c r="GG335"/>
      <c r="GH335"/>
      <c r="GI335"/>
      <c r="GJ335"/>
      <c r="GK335"/>
      <c r="GL335"/>
      <c r="GM335"/>
      <c r="GN335"/>
      <c r="GO335"/>
      <c r="GP335"/>
      <c r="GQ335"/>
      <c r="GR335"/>
      <c r="GS335"/>
      <c r="GT335"/>
      <c r="GU335"/>
      <c r="GV335"/>
      <c r="GW335"/>
      <c r="GX335"/>
      <c r="GY335"/>
      <c r="GZ335"/>
      <c r="HA335"/>
      <c r="HB335"/>
      <c r="HC335"/>
      <c r="HD335"/>
      <c r="HE335"/>
      <c r="HF335"/>
      <c r="HG335"/>
      <c r="HH335"/>
      <c r="HI335"/>
      <c r="HJ335"/>
      <c r="HK335"/>
      <c r="HL335"/>
      <c r="HM335"/>
      <c r="HN335"/>
      <c r="HO335"/>
      <c r="HP335"/>
      <c r="HQ335"/>
      <c r="HR335"/>
      <c r="HS335"/>
      <c r="HT335"/>
      <c r="HU335"/>
      <c r="HV335"/>
      <c r="HW335"/>
      <c r="HX335"/>
      <c r="HY335"/>
      <c r="HZ335"/>
      <c r="IA335"/>
      <c r="IB335"/>
      <c r="IC335"/>
      <c r="ID335"/>
      <c r="IE335"/>
      <c r="IF335"/>
      <c r="IG335"/>
      <c r="IH335"/>
      <c r="II335"/>
      <c r="IJ335"/>
      <c r="IK335"/>
      <c r="IL335"/>
      <c r="IM335"/>
      <c r="IN335"/>
      <c r="IO335"/>
      <c r="IP335"/>
      <c r="IQ335"/>
      <c r="IR335"/>
      <c r="IS335"/>
      <c r="IT335"/>
      <c r="IU335"/>
      <c r="IV335"/>
      <c r="IW335"/>
      <c r="IX335"/>
      <c r="IY335"/>
      <c r="IZ335"/>
      <c r="JA335"/>
      <c r="JB335"/>
      <c r="JC335"/>
      <c r="JD335"/>
      <c r="JE335"/>
      <c r="JF335"/>
      <c r="JG335"/>
      <c r="JH335"/>
      <c r="JI335"/>
      <c r="JJ335"/>
      <c r="JK335"/>
      <c r="JL335"/>
      <c r="JM335"/>
      <c r="JN335"/>
      <c r="JO335"/>
      <c r="JP335"/>
      <c r="JQ335"/>
      <c r="JR335"/>
      <c r="JS335"/>
      <c r="JT335"/>
      <c r="JU335"/>
      <c r="JV335"/>
      <c r="JW335"/>
      <c r="JX335"/>
      <c r="JY335"/>
      <c r="JZ335"/>
      <c r="KA335"/>
      <c r="KB335"/>
      <c r="KC335"/>
      <c r="KD335"/>
      <c r="KE335"/>
      <c r="KF335"/>
      <c r="KG335"/>
      <c r="KH335"/>
      <c r="KI335"/>
      <c r="KJ335"/>
      <c r="KK335"/>
      <c r="KL335"/>
      <c r="KM335"/>
      <c r="KN335"/>
      <c r="KO335"/>
      <c r="KP335"/>
      <c r="KQ335"/>
      <c r="KR335"/>
      <c r="KS335"/>
      <c r="KT335"/>
    </row>
    <row r="336" spans="2:306" hidden="1" x14ac:dyDescent="0.25">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c r="EO336"/>
      <c r="EP336"/>
      <c r="EQ336"/>
      <c r="ER336"/>
      <c r="ES336"/>
      <c r="ET336"/>
      <c r="EU336"/>
      <c r="EV336"/>
      <c r="EW336"/>
      <c r="EX336"/>
      <c r="EY336"/>
      <c r="EZ336"/>
      <c r="FA336"/>
      <c r="FB336"/>
      <c r="FC336"/>
      <c r="FD336"/>
      <c r="FE336"/>
      <c r="FF336"/>
      <c r="FG336"/>
      <c r="FH336"/>
      <c r="FI336"/>
      <c r="FJ336"/>
      <c r="FK336"/>
      <c r="FL336"/>
      <c r="FM336"/>
      <c r="FN336"/>
      <c r="FO336"/>
      <c r="FP336"/>
      <c r="FQ336"/>
      <c r="FR336"/>
      <c r="FS336"/>
      <c r="FT336"/>
      <c r="FU336"/>
      <c r="FV336"/>
      <c r="FW336"/>
      <c r="FX336"/>
      <c r="FY336"/>
      <c r="FZ336"/>
      <c r="GA336"/>
      <c r="GB336"/>
      <c r="GC336"/>
      <c r="GD336"/>
      <c r="GE336"/>
      <c r="GF336"/>
      <c r="GG336"/>
      <c r="GH336"/>
      <c r="GI336"/>
      <c r="GJ336"/>
      <c r="GK336"/>
      <c r="GL336"/>
      <c r="GM336"/>
      <c r="GN336"/>
      <c r="GO336"/>
      <c r="GP336"/>
      <c r="GQ336"/>
      <c r="GR336"/>
      <c r="GS336"/>
      <c r="GT336"/>
      <c r="GU336"/>
      <c r="GV336"/>
      <c r="GW336"/>
      <c r="GX336"/>
      <c r="GY336"/>
      <c r="GZ336"/>
      <c r="HA336"/>
      <c r="HB336"/>
      <c r="HC336"/>
      <c r="HD336"/>
      <c r="HE336"/>
      <c r="HF336"/>
      <c r="HG336"/>
      <c r="HH336"/>
      <c r="HI336"/>
      <c r="HJ336"/>
      <c r="HK336"/>
      <c r="HL336"/>
      <c r="HM336"/>
      <c r="HN336"/>
      <c r="HO336"/>
      <c r="HP336"/>
      <c r="HQ336"/>
      <c r="HR336"/>
      <c r="HS336"/>
      <c r="HT336"/>
      <c r="HU336"/>
      <c r="HV336"/>
      <c r="HW336"/>
      <c r="HX336"/>
      <c r="HY336"/>
      <c r="HZ336"/>
      <c r="IA336"/>
      <c r="IB336"/>
      <c r="IC336"/>
      <c r="ID336"/>
      <c r="IE336"/>
      <c r="IF336"/>
      <c r="IG336"/>
      <c r="IH336"/>
      <c r="II336"/>
      <c r="IJ336"/>
      <c r="IK336"/>
      <c r="IL336"/>
      <c r="IM336"/>
      <c r="IN336"/>
      <c r="IO336"/>
      <c r="IP336"/>
      <c r="IQ336"/>
      <c r="IR336"/>
      <c r="IS336"/>
      <c r="IT336"/>
      <c r="IU336"/>
      <c r="IV336"/>
      <c r="IW336"/>
      <c r="IX336"/>
      <c r="IY336"/>
      <c r="IZ336"/>
      <c r="JA336"/>
      <c r="JB336"/>
      <c r="JC336"/>
      <c r="JD336"/>
      <c r="JE336"/>
      <c r="JF336"/>
      <c r="JG336"/>
      <c r="JH336"/>
      <c r="JI336"/>
      <c r="JJ336"/>
      <c r="JK336"/>
      <c r="JL336"/>
      <c r="JM336"/>
      <c r="JN336"/>
      <c r="JO336"/>
      <c r="JP336"/>
      <c r="JQ336"/>
      <c r="JR336"/>
      <c r="JS336"/>
      <c r="JT336"/>
      <c r="JU336"/>
      <c r="JV336"/>
      <c r="JW336"/>
      <c r="JX336"/>
      <c r="JY336"/>
      <c r="JZ336"/>
      <c r="KA336"/>
      <c r="KB336"/>
      <c r="KC336"/>
      <c r="KD336"/>
      <c r="KE336"/>
      <c r="KF336"/>
      <c r="KG336"/>
      <c r="KH336"/>
      <c r="KI336"/>
      <c r="KJ336"/>
      <c r="KK336"/>
      <c r="KL336"/>
      <c r="KM336"/>
      <c r="KN336"/>
      <c r="KO336"/>
      <c r="KP336"/>
      <c r="KQ336"/>
      <c r="KR336"/>
      <c r="KS336"/>
    </row>
    <row r="337" spans="2:305" hidden="1" x14ac:dyDescent="0.25">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c r="ER337"/>
      <c r="ES337"/>
      <c r="ET337"/>
      <c r="EU337"/>
      <c r="EV337"/>
      <c r="EW337"/>
      <c r="EX337"/>
      <c r="EY337"/>
      <c r="EZ337"/>
      <c r="FA337"/>
      <c r="FB337"/>
      <c r="FC337"/>
      <c r="FD337"/>
      <c r="FE337"/>
      <c r="FF337"/>
      <c r="FG337"/>
      <c r="FH337"/>
      <c r="FI337"/>
      <c r="FJ337"/>
      <c r="FK337"/>
      <c r="FL337"/>
      <c r="FM337"/>
      <c r="FN337"/>
      <c r="FO337"/>
      <c r="FP337"/>
      <c r="FQ337"/>
      <c r="FR337"/>
      <c r="FS337"/>
      <c r="FT337"/>
      <c r="FU337"/>
      <c r="FV337"/>
      <c r="FW337"/>
      <c r="FX337"/>
      <c r="FY337"/>
      <c r="FZ337"/>
      <c r="GA337"/>
      <c r="GB337"/>
      <c r="GC337"/>
      <c r="GD337"/>
      <c r="GE337"/>
      <c r="GF337"/>
      <c r="GG337"/>
      <c r="GH337"/>
      <c r="GI337"/>
      <c r="GJ337"/>
      <c r="GK337"/>
      <c r="GL337"/>
      <c r="GM337"/>
      <c r="GN337"/>
      <c r="GO337"/>
      <c r="GP337"/>
      <c r="GQ337"/>
      <c r="GR337"/>
      <c r="GS337"/>
      <c r="GT337"/>
      <c r="GU337"/>
      <c r="GV337"/>
      <c r="GW337"/>
      <c r="GX337"/>
      <c r="GY337"/>
      <c r="GZ337"/>
      <c r="HA337"/>
      <c r="HB337"/>
      <c r="HC337"/>
      <c r="HD337"/>
      <c r="HE337"/>
      <c r="HF337"/>
      <c r="HG337"/>
      <c r="HH337"/>
      <c r="HI337"/>
      <c r="HJ337"/>
      <c r="HK337"/>
      <c r="HL337"/>
      <c r="HM337"/>
      <c r="HN337"/>
      <c r="HO337"/>
      <c r="HP337"/>
      <c r="HQ337"/>
      <c r="HR337"/>
      <c r="HS337"/>
      <c r="HT337"/>
      <c r="HU337"/>
      <c r="HV337"/>
      <c r="HW337"/>
      <c r="HX337"/>
      <c r="HY337"/>
      <c r="HZ337"/>
      <c r="IA337"/>
      <c r="IB337"/>
      <c r="IC337"/>
      <c r="ID337"/>
      <c r="IE337"/>
      <c r="IF337"/>
      <c r="IG337"/>
      <c r="IH337"/>
      <c r="II337"/>
      <c r="IJ337"/>
      <c r="IK337"/>
      <c r="IL337"/>
      <c r="IM337"/>
      <c r="IN337"/>
      <c r="IO337"/>
      <c r="IP337"/>
      <c r="IQ337"/>
      <c r="IR337"/>
      <c r="IS337"/>
      <c r="IT337"/>
      <c r="IU337"/>
      <c r="IV337"/>
      <c r="IW337"/>
      <c r="IX337"/>
      <c r="IY337"/>
      <c r="IZ337"/>
      <c r="JA337"/>
      <c r="JB337"/>
      <c r="JC337"/>
      <c r="JD337"/>
      <c r="JE337"/>
      <c r="JF337"/>
      <c r="JG337"/>
      <c r="JH337"/>
      <c r="JI337"/>
      <c r="JJ337"/>
      <c r="JK337"/>
      <c r="JL337"/>
      <c r="JM337"/>
      <c r="JN337"/>
      <c r="JO337"/>
      <c r="JP337"/>
      <c r="JQ337"/>
      <c r="JR337"/>
      <c r="JS337"/>
      <c r="JT337"/>
      <c r="JU337"/>
      <c r="JV337"/>
      <c r="JW337"/>
      <c r="JX337"/>
      <c r="JY337"/>
      <c r="JZ337"/>
      <c r="KA337"/>
      <c r="KB337"/>
      <c r="KC337"/>
      <c r="KD337"/>
      <c r="KE337"/>
      <c r="KF337"/>
      <c r="KG337"/>
      <c r="KH337"/>
      <c r="KI337"/>
      <c r="KJ337"/>
      <c r="KK337"/>
      <c r="KL337"/>
      <c r="KM337"/>
      <c r="KN337"/>
      <c r="KO337"/>
      <c r="KP337"/>
      <c r="KQ337"/>
      <c r="KR337"/>
      <c r="KS337"/>
    </row>
    <row r="338" spans="2:305" hidden="1" x14ac:dyDescent="0.25">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c r="ER338"/>
      <c r="ES338"/>
      <c r="ET338"/>
      <c r="EU338"/>
      <c r="EV338"/>
      <c r="EW338"/>
      <c r="EX338"/>
      <c r="EY338"/>
      <c r="EZ338"/>
      <c r="FA338"/>
      <c r="FB338"/>
      <c r="FC338"/>
      <c r="FD338"/>
      <c r="FE338"/>
      <c r="FF338"/>
      <c r="FG338"/>
      <c r="FH338"/>
      <c r="FI338"/>
      <c r="FJ338"/>
      <c r="FK338"/>
      <c r="FL338"/>
      <c r="FM338"/>
      <c r="FN338"/>
      <c r="FO338"/>
      <c r="FP338"/>
      <c r="FQ338"/>
      <c r="FR338"/>
      <c r="FS338"/>
      <c r="FT338"/>
      <c r="FU338"/>
      <c r="FV338"/>
      <c r="FW338"/>
      <c r="FX338"/>
      <c r="FY338"/>
      <c r="FZ338"/>
      <c r="GA338"/>
      <c r="GB338"/>
      <c r="GC338"/>
      <c r="GD338"/>
      <c r="GE338"/>
      <c r="GF338"/>
      <c r="GG338"/>
      <c r="GH338"/>
      <c r="GI338"/>
      <c r="GJ338"/>
      <c r="GK338"/>
      <c r="GL338"/>
      <c r="GM338"/>
      <c r="GN338"/>
      <c r="GO338"/>
      <c r="GP338"/>
      <c r="GQ338"/>
      <c r="GR338"/>
      <c r="GS338"/>
      <c r="GT338"/>
      <c r="GU338"/>
      <c r="GV338"/>
      <c r="GW338"/>
      <c r="GX338"/>
      <c r="GY338"/>
      <c r="GZ338"/>
      <c r="HA338"/>
      <c r="HB338"/>
      <c r="HC338"/>
      <c r="HD338"/>
      <c r="HE338"/>
      <c r="HF338"/>
      <c r="HG338"/>
      <c r="HH338"/>
      <c r="HI338"/>
      <c r="HJ338"/>
      <c r="HK338"/>
      <c r="HL338"/>
      <c r="HM338"/>
      <c r="HN338"/>
      <c r="HO338"/>
      <c r="HP338"/>
      <c r="HQ338"/>
      <c r="HR338"/>
      <c r="HS338"/>
      <c r="HT338"/>
      <c r="HU338"/>
      <c r="HV338"/>
      <c r="HW338"/>
      <c r="HX338"/>
      <c r="HY338"/>
      <c r="HZ338"/>
      <c r="IA338"/>
      <c r="IB338"/>
      <c r="IC338"/>
      <c r="ID338"/>
      <c r="IE338"/>
      <c r="IF338"/>
      <c r="IG338"/>
      <c r="IH338"/>
      <c r="II338"/>
      <c r="IJ338"/>
      <c r="IK338"/>
      <c r="IL338"/>
      <c r="IM338"/>
      <c r="IN338"/>
      <c r="IO338"/>
      <c r="IP338"/>
      <c r="IQ338"/>
      <c r="IR338"/>
      <c r="IS338"/>
      <c r="IT338"/>
      <c r="IU338"/>
      <c r="IV338"/>
      <c r="IW338"/>
      <c r="IX338"/>
      <c r="IY338"/>
      <c r="IZ338"/>
      <c r="JA338"/>
      <c r="JB338"/>
      <c r="JC338"/>
      <c r="JD338"/>
      <c r="JE338"/>
      <c r="JF338"/>
      <c r="JG338"/>
      <c r="JH338"/>
      <c r="JI338"/>
      <c r="JJ338"/>
      <c r="JK338"/>
      <c r="JL338"/>
      <c r="JM338"/>
      <c r="JN338"/>
      <c r="JO338"/>
      <c r="JP338"/>
      <c r="JQ338"/>
      <c r="JR338"/>
      <c r="JS338"/>
      <c r="JT338"/>
      <c r="JU338"/>
      <c r="JV338"/>
      <c r="JW338"/>
      <c r="JX338"/>
      <c r="JY338"/>
      <c r="JZ338"/>
      <c r="KA338"/>
      <c r="KB338"/>
      <c r="KC338"/>
      <c r="KD338"/>
      <c r="KE338"/>
      <c r="KF338"/>
      <c r="KG338"/>
      <c r="KH338"/>
      <c r="KI338"/>
      <c r="KJ338"/>
      <c r="KK338"/>
      <c r="KL338"/>
      <c r="KM338"/>
      <c r="KN338"/>
      <c r="KO338"/>
      <c r="KP338"/>
      <c r="KQ338"/>
      <c r="KR338"/>
      <c r="KS338"/>
    </row>
    <row r="339" spans="2:305" hidden="1" x14ac:dyDescent="0.25">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c r="ER339"/>
      <c r="ES339"/>
      <c r="ET339"/>
      <c r="EU339"/>
      <c r="EV339"/>
      <c r="EW339"/>
      <c r="EX339"/>
      <c r="EY339"/>
      <c r="EZ339"/>
      <c r="FA339"/>
      <c r="FB339"/>
      <c r="FC339"/>
      <c r="FD339"/>
      <c r="FE339"/>
      <c r="FF339"/>
      <c r="FG339"/>
      <c r="FH339"/>
      <c r="FI339"/>
      <c r="FJ339"/>
      <c r="FK339"/>
      <c r="FL339"/>
      <c r="FM339"/>
      <c r="FN339"/>
      <c r="FO339"/>
      <c r="FP339"/>
      <c r="FQ339"/>
      <c r="FR339"/>
      <c r="FS339"/>
      <c r="FT339"/>
      <c r="FU339"/>
      <c r="FV339"/>
      <c r="FW339"/>
      <c r="FX339"/>
      <c r="FY339"/>
      <c r="FZ339"/>
      <c r="GA339"/>
      <c r="GB339"/>
      <c r="GC339"/>
      <c r="GD339"/>
      <c r="GE339"/>
      <c r="GF339"/>
      <c r="GG339"/>
      <c r="GH339"/>
      <c r="GI339"/>
      <c r="GJ339"/>
      <c r="GK339"/>
      <c r="GL339"/>
      <c r="GM339"/>
      <c r="GN339"/>
      <c r="GO339"/>
      <c r="GP339"/>
      <c r="GQ339"/>
      <c r="GR339"/>
      <c r="GS339"/>
      <c r="GT339"/>
      <c r="GU339"/>
      <c r="GV339"/>
      <c r="GW339"/>
      <c r="GX339"/>
      <c r="GY339"/>
      <c r="GZ339"/>
      <c r="HA339"/>
      <c r="HB339"/>
      <c r="HC339"/>
      <c r="HD339"/>
      <c r="HE339"/>
      <c r="HF339"/>
      <c r="HG339"/>
      <c r="HH339"/>
      <c r="HI339"/>
      <c r="HJ339"/>
      <c r="HK339"/>
      <c r="HL339"/>
      <c r="HM339"/>
      <c r="HN339"/>
      <c r="HO339"/>
      <c r="HP339"/>
      <c r="HQ339"/>
      <c r="HR339"/>
      <c r="HS339"/>
      <c r="HT339"/>
      <c r="HU339"/>
      <c r="HV339"/>
      <c r="HW339"/>
      <c r="HX339"/>
      <c r="HY339"/>
      <c r="HZ339"/>
      <c r="IA339"/>
      <c r="IB339"/>
      <c r="IC339"/>
      <c r="ID339"/>
      <c r="IE339"/>
      <c r="IF339"/>
      <c r="IG339"/>
      <c r="IH339"/>
      <c r="II339"/>
      <c r="IJ339"/>
      <c r="IK339"/>
      <c r="IL339"/>
      <c r="IM339"/>
      <c r="IN339"/>
      <c r="IO339"/>
      <c r="IP339"/>
      <c r="IQ339"/>
      <c r="IR339"/>
      <c r="IS339"/>
      <c r="IT339"/>
      <c r="IU339"/>
      <c r="IV339"/>
      <c r="IW339"/>
      <c r="IX339"/>
      <c r="IY339"/>
      <c r="IZ339"/>
      <c r="JA339"/>
      <c r="JB339"/>
      <c r="JC339"/>
      <c r="JD339"/>
      <c r="JE339"/>
      <c r="JF339"/>
      <c r="JG339"/>
      <c r="JH339"/>
      <c r="JI339"/>
      <c r="JJ339"/>
      <c r="JK339"/>
      <c r="JL339"/>
      <c r="JM339"/>
      <c r="JN339"/>
      <c r="JO339"/>
      <c r="JP339"/>
      <c r="JQ339"/>
      <c r="JR339"/>
      <c r="JS339"/>
      <c r="JT339"/>
      <c r="JU339"/>
      <c r="JV339"/>
      <c r="JW339"/>
      <c r="JX339"/>
      <c r="JY339"/>
      <c r="JZ339"/>
      <c r="KA339"/>
      <c r="KB339"/>
      <c r="KC339"/>
      <c r="KD339"/>
      <c r="KE339"/>
      <c r="KF339"/>
      <c r="KG339"/>
      <c r="KH339"/>
      <c r="KI339"/>
      <c r="KJ339"/>
      <c r="KK339"/>
      <c r="KL339"/>
      <c r="KM339"/>
      <c r="KN339"/>
      <c r="KO339"/>
      <c r="KP339"/>
      <c r="KQ339"/>
      <c r="KR339"/>
      <c r="KS339"/>
    </row>
    <row r="340" spans="2:305" hidden="1" x14ac:dyDescent="0.25">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c r="ER340"/>
      <c r="ES340"/>
      <c r="ET340"/>
      <c r="EU340"/>
      <c r="EV340"/>
      <c r="EW340"/>
      <c r="EX340"/>
      <c r="EY340"/>
      <c r="EZ340"/>
      <c r="FA340"/>
      <c r="FB340"/>
      <c r="FC340"/>
      <c r="FD340"/>
      <c r="FE340"/>
      <c r="FF340"/>
      <c r="FG340"/>
      <c r="FH340"/>
      <c r="FI340"/>
      <c r="FJ340"/>
      <c r="FK340"/>
      <c r="FL340"/>
      <c r="FM340"/>
      <c r="FN340"/>
      <c r="FO340"/>
      <c r="FP340"/>
      <c r="FQ340"/>
      <c r="FR340"/>
      <c r="FS340"/>
      <c r="FT340"/>
      <c r="FU340"/>
      <c r="FV340"/>
      <c r="FW340"/>
      <c r="FX340"/>
      <c r="FY340"/>
      <c r="FZ340"/>
      <c r="GA340"/>
      <c r="GB340"/>
      <c r="GC340"/>
      <c r="GD340"/>
      <c r="GE340"/>
      <c r="GF340"/>
      <c r="GG340"/>
      <c r="GH340"/>
      <c r="GI340"/>
      <c r="GJ340"/>
      <c r="GK340"/>
      <c r="GL340"/>
      <c r="GM340"/>
      <c r="GN340"/>
      <c r="GO340"/>
      <c r="GP340"/>
      <c r="GQ340"/>
      <c r="GR340"/>
      <c r="GS340"/>
      <c r="GT340"/>
      <c r="GU340"/>
      <c r="GV340"/>
      <c r="GW340"/>
      <c r="GX340"/>
      <c r="GY340"/>
      <c r="GZ340"/>
      <c r="HA340"/>
      <c r="HB340"/>
      <c r="HC340"/>
      <c r="HD340"/>
      <c r="HE340"/>
      <c r="HF340"/>
      <c r="HG340"/>
      <c r="HH340"/>
      <c r="HI340"/>
      <c r="HJ340"/>
      <c r="HK340"/>
      <c r="HL340"/>
      <c r="HM340"/>
      <c r="HN340"/>
      <c r="HO340"/>
      <c r="HP340"/>
      <c r="HQ340"/>
      <c r="HR340"/>
      <c r="HS340"/>
      <c r="HT340"/>
      <c r="HU340"/>
      <c r="HV340"/>
      <c r="HW340"/>
      <c r="HX340"/>
      <c r="HY340"/>
      <c r="HZ340"/>
      <c r="IA340"/>
      <c r="IB340"/>
      <c r="IC340"/>
      <c r="ID340"/>
      <c r="IE340"/>
      <c r="IF340"/>
      <c r="IG340"/>
      <c r="IH340"/>
      <c r="II340"/>
      <c r="IJ340"/>
      <c r="IK340"/>
      <c r="IL340"/>
      <c r="IM340"/>
      <c r="IN340"/>
      <c r="IO340"/>
      <c r="IP340"/>
      <c r="IQ340"/>
      <c r="IR340"/>
      <c r="IS340"/>
      <c r="IT340"/>
      <c r="IU340"/>
      <c r="IV340"/>
      <c r="IW340"/>
      <c r="IX340"/>
      <c r="IY340"/>
      <c r="IZ340"/>
      <c r="JA340"/>
      <c r="JB340"/>
      <c r="JC340"/>
      <c r="JD340"/>
      <c r="JE340"/>
      <c r="JF340"/>
      <c r="JG340"/>
      <c r="JH340"/>
      <c r="JI340"/>
      <c r="JJ340"/>
      <c r="JK340"/>
      <c r="JL340"/>
      <c r="JM340"/>
      <c r="JN340"/>
      <c r="JO340"/>
      <c r="JP340"/>
      <c r="JQ340"/>
      <c r="JR340"/>
      <c r="JS340"/>
      <c r="JT340"/>
      <c r="JU340"/>
      <c r="JV340"/>
      <c r="JW340"/>
      <c r="JX340"/>
      <c r="JY340"/>
      <c r="JZ340"/>
      <c r="KA340"/>
      <c r="KB340"/>
      <c r="KC340"/>
      <c r="KD340"/>
      <c r="KE340"/>
      <c r="KF340"/>
      <c r="KG340"/>
      <c r="KH340"/>
      <c r="KI340"/>
      <c r="KJ340"/>
      <c r="KK340"/>
      <c r="KL340"/>
      <c r="KM340"/>
      <c r="KN340"/>
      <c r="KO340"/>
      <c r="KP340"/>
      <c r="KQ340"/>
      <c r="KR340"/>
      <c r="KS340"/>
    </row>
    <row r="341" spans="2:305" hidden="1" x14ac:dyDescent="0.25">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c r="ER341"/>
      <c r="ES341"/>
      <c r="ET341"/>
      <c r="EU341"/>
      <c r="EV341"/>
      <c r="EW341"/>
      <c r="EX341"/>
      <c r="EY341"/>
      <c r="EZ341"/>
      <c r="FA341"/>
      <c r="FB341"/>
      <c r="FC341"/>
      <c r="FD341"/>
      <c r="FE341"/>
      <c r="FF341"/>
      <c r="FG341"/>
      <c r="FH341"/>
      <c r="FI341"/>
      <c r="FJ341"/>
      <c r="FK341"/>
      <c r="FL341"/>
      <c r="FM341"/>
      <c r="FN341"/>
      <c r="FO341"/>
      <c r="FP341"/>
      <c r="FQ341"/>
      <c r="FR341"/>
      <c r="FS341"/>
      <c r="FT341"/>
      <c r="FU341"/>
      <c r="FV341"/>
      <c r="FW341"/>
      <c r="FX341"/>
      <c r="FY341"/>
      <c r="FZ341"/>
      <c r="GA341"/>
      <c r="GB341"/>
      <c r="GC341"/>
      <c r="GD341"/>
      <c r="GE341"/>
      <c r="GF341"/>
      <c r="GG341"/>
      <c r="GH341"/>
      <c r="GI341"/>
      <c r="GJ341"/>
      <c r="GK341"/>
      <c r="GL341"/>
      <c r="GM341"/>
      <c r="GN341"/>
      <c r="GO341"/>
      <c r="GP341"/>
      <c r="GQ341"/>
      <c r="GR341"/>
      <c r="GS341"/>
      <c r="GT341"/>
      <c r="GU341"/>
      <c r="GV341"/>
      <c r="GW341"/>
      <c r="GX341"/>
      <c r="GY341"/>
      <c r="GZ341"/>
      <c r="HA341"/>
      <c r="HB341"/>
      <c r="HC341"/>
      <c r="HD341"/>
      <c r="HE341"/>
      <c r="HF341"/>
      <c r="HG341"/>
      <c r="HH341"/>
      <c r="HI341"/>
      <c r="HJ341"/>
      <c r="HK341"/>
      <c r="HL341"/>
      <c r="HM341"/>
      <c r="HN341"/>
      <c r="HO341"/>
      <c r="HP341"/>
      <c r="HQ341"/>
      <c r="HR341"/>
      <c r="HS341"/>
      <c r="HT341"/>
      <c r="HU341"/>
      <c r="HV341"/>
      <c r="HW341"/>
      <c r="HX341"/>
      <c r="HY341"/>
      <c r="HZ341"/>
      <c r="IA341"/>
      <c r="IB341"/>
      <c r="IC341"/>
      <c r="ID341"/>
      <c r="IE341"/>
      <c r="IF341"/>
      <c r="IG341"/>
      <c r="IH341"/>
      <c r="II341"/>
      <c r="IJ341"/>
      <c r="IK341"/>
      <c r="IL341"/>
      <c r="IM341"/>
      <c r="IN341"/>
      <c r="IO341"/>
      <c r="IP341"/>
      <c r="IQ341"/>
      <c r="IR341"/>
      <c r="IS341"/>
      <c r="IT341"/>
      <c r="IU341"/>
      <c r="IV341"/>
      <c r="IW341"/>
      <c r="IX341"/>
      <c r="IY341"/>
      <c r="IZ341"/>
      <c r="JA341"/>
      <c r="JB341"/>
      <c r="JC341"/>
      <c r="JD341"/>
      <c r="JE341"/>
      <c r="JF341"/>
      <c r="JG341"/>
      <c r="JH341"/>
      <c r="JI341"/>
      <c r="JJ341"/>
      <c r="JK341"/>
      <c r="JL341"/>
      <c r="JM341"/>
      <c r="JN341"/>
      <c r="JO341"/>
      <c r="JP341"/>
      <c r="JQ341"/>
      <c r="JR341"/>
      <c r="JS341"/>
      <c r="JT341"/>
      <c r="JU341"/>
      <c r="JV341"/>
      <c r="JW341"/>
      <c r="JX341"/>
      <c r="JY341"/>
      <c r="JZ341"/>
      <c r="KA341"/>
      <c r="KB341"/>
      <c r="KC341"/>
      <c r="KD341"/>
      <c r="KE341"/>
      <c r="KF341"/>
      <c r="KG341"/>
      <c r="KH341"/>
      <c r="KI341"/>
      <c r="KJ341"/>
      <c r="KK341"/>
      <c r="KL341"/>
      <c r="KM341"/>
      <c r="KN341"/>
      <c r="KO341"/>
      <c r="KP341"/>
      <c r="KQ341"/>
      <c r="KR341"/>
      <c r="KS341"/>
    </row>
    <row r="342" spans="2:305" hidden="1" x14ac:dyDescent="0.25">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c r="ER342"/>
      <c r="ES342"/>
      <c r="ET342"/>
      <c r="EU342"/>
      <c r="EV342"/>
      <c r="EW342"/>
      <c r="EX342"/>
      <c r="EY342"/>
      <c r="EZ342"/>
      <c r="FA342"/>
      <c r="FB342"/>
      <c r="FC342"/>
      <c r="FD342"/>
      <c r="FE342"/>
      <c r="FF342"/>
      <c r="FG342"/>
      <c r="FH342"/>
      <c r="FI342"/>
      <c r="FJ342"/>
      <c r="FK342"/>
      <c r="FL342"/>
      <c r="FM342"/>
      <c r="FN342"/>
      <c r="FO342"/>
      <c r="FP342"/>
      <c r="FQ342"/>
      <c r="FR342"/>
      <c r="FS342"/>
      <c r="FT342"/>
      <c r="FU342"/>
      <c r="FV342"/>
      <c r="FW342"/>
      <c r="FX342"/>
      <c r="FY342"/>
      <c r="FZ342"/>
      <c r="GA342"/>
      <c r="GB342"/>
      <c r="GC342"/>
      <c r="GD342"/>
      <c r="GE342"/>
      <c r="GF342"/>
      <c r="GG342"/>
      <c r="GH342"/>
      <c r="GI342"/>
      <c r="GJ342"/>
      <c r="GK342"/>
      <c r="GL342"/>
      <c r="GM342"/>
      <c r="GN342"/>
      <c r="GO342"/>
      <c r="GP342"/>
      <c r="GQ342"/>
      <c r="GR342"/>
      <c r="GS342"/>
      <c r="GT342"/>
      <c r="GU342"/>
      <c r="GV342"/>
      <c r="GW342"/>
      <c r="GX342"/>
      <c r="GY342"/>
      <c r="GZ342"/>
      <c r="HA342"/>
      <c r="HB342"/>
      <c r="HC342"/>
      <c r="HD342"/>
      <c r="HE342"/>
      <c r="HF342"/>
      <c r="HG342"/>
      <c r="HH342"/>
      <c r="HI342"/>
      <c r="HJ342"/>
      <c r="HK342"/>
      <c r="HL342"/>
      <c r="HM342"/>
      <c r="HN342"/>
      <c r="HO342"/>
      <c r="HP342"/>
      <c r="HQ342"/>
      <c r="HR342"/>
      <c r="HS342"/>
      <c r="HT342"/>
      <c r="HU342"/>
      <c r="HV342"/>
      <c r="HW342"/>
      <c r="HX342"/>
      <c r="HY342"/>
      <c r="HZ342"/>
      <c r="IA342"/>
      <c r="IB342"/>
      <c r="IC342"/>
      <c r="ID342"/>
      <c r="IE342"/>
      <c r="IF342"/>
      <c r="IG342"/>
      <c r="IH342"/>
      <c r="II342"/>
      <c r="IJ342"/>
      <c r="IK342"/>
      <c r="IL342"/>
      <c r="IM342"/>
      <c r="IN342"/>
      <c r="IO342"/>
      <c r="IP342"/>
      <c r="IQ342"/>
      <c r="IR342"/>
      <c r="IS342"/>
      <c r="IT342"/>
      <c r="IU342"/>
      <c r="IV342"/>
      <c r="IW342"/>
      <c r="IX342"/>
      <c r="IY342"/>
      <c r="IZ342"/>
      <c r="JA342"/>
      <c r="JB342"/>
      <c r="JC342"/>
      <c r="JD342"/>
      <c r="JE342"/>
      <c r="JF342"/>
      <c r="JG342"/>
      <c r="JH342"/>
      <c r="JI342"/>
      <c r="JJ342"/>
      <c r="JK342"/>
      <c r="JL342"/>
      <c r="JM342"/>
      <c r="JN342"/>
      <c r="JO342"/>
      <c r="JP342"/>
      <c r="JQ342"/>
      <c r="JR342"/>
      <c r="JS342"/>
      <c r="JT342"/>
      <c r="JU342"/>
      <c r="JV342"/>
      <c r="JW342"/>
      <c r="JX342"/>
      <c r="JY342"/>
      <c r="JZ342"/>
      <c r="KA342"/>
      <c r="KB342"/>
      <c r="KC342"/>
      <c r="KD342"/>
      <c r="KE342"/>
      <c r="KF342"/>
      <c r="KG342"/>
      <c r="KH342"/>
      <c r="KI342"/>
      <c r="KJ342"/>
      <c r="KK342"/>
      <c r="KL342"/>
      <c r="KM342"/>
      <c r="KN342"/>
      <c r="KO342"/>
      <c r="KP342"/>
      <c r="KQ342"/>
      <c r="KR342"/>
      <c r="KS342"/>
    </row>
    <row r="343" spans="2:305" hidden="1" x14ac:dyDescent="0.25">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c r="ER343"/>
      <c r="ES343"/>
      <c r="ET343"/>
      <c r="EU343"/>
      <c r="EV343"/>
      <c r="EW343"/>
      <c r="EX343"/>
      <c r="EY343"/>
      <c r="EZ343"/>
      <c r="FA343"/>
      <c r="FB343"/>
      <c r="FC343"/>
      <c r="FD343"/>
      <c r="FE343"/>
      <c r="FF343"/>
      <c r="FG343"/>
      <c r="FH343"/>
      <c r="FI343"/>
      <c r="FJ343"/>
      <c r="FK343"/>
      <c r="FL343"/>
      <c r="FM343"/>
      <c r="FN343"/>
      <c r="FO343"/>
      <c r="FP343"/>
      <c r="FQ343"/>
      <c r="FR343"/>
      <c r="FS343"/>
      <c r="FT343"/>
      <c r="FU343"/>
      <c r="FV343"/>
      <c r="FW343"/>
      <c r="FX343"/>
      <c r="FY343"/>
      <c r="FZ343"/>
      <c r="GA343"/>
      <c r="GB343"/>
      <c r="GC343"/>
      <c r="GD343"/>
      <c r="GE343"/>
      <c r="GF343"/>
      <c r="GG343"/>
      <c r="GH343"/>
      <c r="GI343"/>
      <c r="GJ343"/>
      <c r="GK343"/>
      <c r="GL343"/>
      <c r="GM343"/>
      <c r="GN343"/>
      <c r="GO343"/>
      <c r="GP343"/>
      <c r="GQ343"/>
      <c r="GR343"/>
      <c r="GS343"/>
      <c r="GT343"/>
      <c r="GU343"/>
      <c r="GV343"/>
      <c r="GW343"/>
      <c r="GX343"/>
      <c r="GY343"/>
      <c r="GZ343"/>
      <c r="HA343"/>
      <c r="HB343"/>
      <c r="HC343"/>
      <c r="HD343"/>
      <c r="HE343"/>
      <c r="HF343"/>
      <c r="HG343"/>
      <c r="HH343"/>
      <c r="HI343"/>
      <c r="HJ343"/>
      <c r="HK343"/>
      <c r="HL343"/>
      <c r="HM343"/>
      <c r="HN343"/>
      <c r="HO343"/>
      <c r="HP343"/>
      <c r="HQ343"/>
      <c r="HR343"/>
      <c r="HS343"/>
      <c r="HT343"/>
      <c r="HU343"/>
      <c r="HV343"/>
      <c r="HW343"/>
      <c r="HX343"/>
      <c r="HY343"/>
      <c r="HZ343"/>
      <c r="IA343"/>
      <c r="IB343"/>
      <c r="IC343"/>
      <c r="ID343"/>
      <c r="IE343"/>
      <c r="IF343"/>
      <c r="IG343"/>
      <c r="IH343"/>
      <c r="II343"/>
      <c r="IJ343"/>
      <c r="IK343"/>
      <c r="IL343"/>
      <c r="IM343"/>
      <c r="IN343"/>
      <c r="IO343"/>
      <c r="IP343"/>
      <c r="IQ343"/>
      <c r="IR343"/>
      <c r="IS343"/>
      <c r="IT343"/>
      <c r="IU343"/>
      <c r="IV343"/>
      <c r="IW343"/>
      <c r="IX343"/>
      <c r="IY343"/>
      <c r="IZ343"/>
      <c r="JA343"/>
      <c r="JB343"/>
      <c r="JC343"/>
      <c r="JD343"/>
      <c r="JE343"/>
      <c r="JF343"/>
      <c r="JG343"/>
      <c r="JH343"/>
      <c r="JI343"/>
      <c r="JJ343"/>
      <c r="JK343"/>
      <c r="JL343"/>
      <c r="JM343"/>
      <c r="JN343"/>
      <c r="JO343"/>
      <c r="JP343"/>
      <c r="JQ343"/>
      <c r="JR343"/>
      <c r="JS343"/>
      <c r="JT343"/>
      <c r="JU343"/>
      <c r="JV343"/>
      <c r="JW343"/>
      <c r="JX343"/>
      <c r="JY343"/>
      <c r="JZ343"/>
      <c r="KA343"/>
      <c r="KB343"/>
      <c r="KC343"/>
      <c r="KD343"/>
      <c r="KE343"/>
      <c r="KF343"/>
      <c r="KG343"/>
      <c r="KH343"/>
      <c r="KI343"/>
      <c r="KJ343"/>
      <c r="KK343"/>
      <c r="KL343"/>
      <c r="KM343"/>
      <c r="KN343"/>
      <c r="KO343"/>
      <c r="KP343"/>
      <c r="KQ343"/>
      <c r="KR343"/>
      <c r="KS343"/>
    </row>
    <row r="344" spans="2:305" hidden="1" x14ac:dyDescent="0.25">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ER344"/>
      <c r="ES344"/>
      <c r="ET344"/>
      <c r="EU344"/>
      <c r="EV344"/>
      <c r="EW344"/>
      <c r="EX344"/>
      <c r="EY344"/>
      <c r="EZ344"/>
      <c r="FA344"/>
      <c r="FB344"/>
      <c r="FC344"/>
      <c r="FD344"/>
      <c r="FE344"/>
      <c r="FF344"/>
      <c r="FG344"/>
      <c r="FH344"/>
      <c r="FI344"/>
      <c r="FJ344"/>
      <c r="FK344"/>
      <c r="FL344"/>
      <c r="FM344"/>
      <c r="FN344"/>
      <c r="FO344"/>
      <c r="FP344"/>
      <c r="FQ344"/>
      <c r="FR344"/>
      <c r="FS344"/>
      <c r="FT344"/>
      <c r="FU344"/>
      <c r="FV344"/>
      <c r="FW344"/>
      <c r="FX344"/>
      <c r="FY344"/>
      <c r="FZ344"/>
      <c r="GA344"/>
      <c r="GB344"/>
      <c r="GC344"/>
      <c r="GD344"/>
      <c r="GE344"/>
      <c r="GF344"/>
      <c r="GG344"/>
      <c r="GH344"/>
      <c r="GI344"/>
      <c r="GJ344"/>
      <c r="GK344"/>
      <c r="GL344"/>
      <c r="GM344"/>
      <c r="GN344"/>
      <c r="GO344"/>
      <c r="GP344"/>
      <c r="GQ344"/>
      <c r="GR344"/>
      <c r="GS344"/>
      <c r="GT344"/>
      <c r="GU344"/>
      <c r="GV344"/>
      <c r="GW344"/>
      <c r="GX344"/>
      <c r="GY344"/>
      <c r="GZ344"/>
      <c r="HA344"/>
      <c r="HB344"/>
      <c r="HC344"/>
      <c r="HD344"/>
      <c r="HE344"/>
      <c r="HF344"/>
      <c r="HG344"/>
      <c r="HH344"/>
      <c r="HI344"/>
      <c r="HJ344"/>
      <c r="HK344"/>
      <c r="HL344"/>
      <c r="HM344"/>
      <c r="HN344"/>
      <c r="HO344"/>
      <c r="HP344"/>
      <c r="HQ344"/>
      <c r="HR344"/>
      <c r="HS344"/>
      <c r="HT344"/>
      <c r="HU344"/>
      <c r="HV344"/>
      <c r="HW344"/>
      <c r="HX344"/>
      <c r="HY344"/>
      <c r="HZ344"/>
      <c r="IA344"/>
      <c r="IB344"/>
      <c r="IC344"/>
      <c r="ID344"/>
      <c r="IE344"/>
      <c r="IF344"/>
      <c r="IG344"/>
      <c r="IH344"/>
      <c r="II344"/>
      <c r="IJ344"/>
      <c r="IK344"/>
      <c r="IL344"/>
      <c r="IM344"/>
      <c r="IN344"/>
      <c r="IO344"/>
      <c r="IP344"/>
      <c r="IQ344"/>
      <c r="IR344"/>
      <c r="IS344"/>
      <c r="IT344"/>
      <c r="IU344"/>
      <c r="IV344"/>
      <c r="IW344"/>
      <c r="IX344"/>
      <c r="IY344"/>
      <c r="IZ344"/>
      <c r="JA344"/>
      <c r="JB344"/>
      <c r="JC344"/>
      <c r="JD344"/>
      <c r="JE344"/>
      <c r="JF344"/>
      <c r="JG344"/>
      <c r="JH344"/>
      <c r="JI344"/>
      <c r="JJ344"/>
      <c r="JK344"/>
      <c r="JL344"/>
      <c r="JM344"/>
      <c r="JN344"/>
      <c r="JO344"/>
      <c r="JP344"/>
      <c r="JQ344"/>
      <c r="JR344"/>
      <c r="JS344"/>
      <c r="JT344"/>
      <c r="JU344"/>
      <c r="JV344"/>
      <c r="JW344"/>
      <c r="JX344"/>
      <c r="JY344"/>
      <c r="JZ344"/>
      <c r="KA344"/>
      <c r="KB344"/>
      <c r="KC344"/>
      <c r="KD344"/>
      <c r="KE344"/>
      <c r="KF344"/>
      <c r="KG344"/>
      <c r="KH344"/>
      <c r="KI344"/>
      <c r="KJ344"/>
      <c r="KK344"/>
      <c r="KL344"/>
      <c r="KM344"/>
      <c r="KN344"/>
      <c r="KO344"/>
      <c r="KP344"/>
      <c r="KQ344"/>
      <c r="KR344"/>
      <c r="KS344"/>
    </row>
    <row r="345" spans="2:305" hidden="1" x14ac:dyDescent="0.2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ER345"/>
      <c r="ES345"/>
      <c r="ET345"/>
      <c r="EU345"/>
      <c r="EV345"/>
      <c r="EW345"/>
      <c r="EX345"/>
      <c r="EY345"/>
      <c r="EZ345"/>
      <c r="FA345"/>
      <c r="FB345"/>
      <c r="FC345"/>
      <c r="FD345"/>
      <c r="FE345"/>
      <c r="FF345"/>
      <c r="FG345"/>
      <c r="FH345"/>
      <c r="FI345"/>
      <c r="FJ345"/>
      <c r="FK345"/>
      <c r="FL345"/>
      <c r="FM345"/>
      <c r="FN345"/>
      <c r="FO345"/>
      <c r="FP345"/>
      <c r="FQ345"/>
      <c r="FR345"/>
      <c r="FS345"/>
      <c r="FT345"/>
      <c r="FU345"/>
      <c r="FV345"/>
      <c r="FW345"/>
      <c r="FX345"/>
      <c r="FY345"/>
      <c r="FZ345"/>
      <c r="GA345"/>
      <c r="GB345"/>
      <c r="GC345"/>
      <c r="GD345"/>
      <c r="GE345"/>
      <c r="GF345"/>
      <c r="GG345"/>
      <c r="GH345"/>
      <c r="GI345"/>
      <c r="GJ345"/>
      <c r="GK345"/>
      <c r="GL345"/>
      <c r="GM345"/>
      <c r="GN345"/>
      <c r="GO345"/>
      <c r="GP345"/>
      <c r="GQ345"/>
      <c r="GR345"/>
      <c r="GS345"/>
      <c r="GT345"/>
      <c r="GU345"/>
      <c r="GV345"/>
      <c r="GW345"/>
      <c r="GX345"/>
      <c r="GY345"/>
      <c r="GZ345"/>
      <c r="HA345"/>
      <c r="HB345"/>
      <c r="HC345"/>
      <c r="HD345"/>
      <c r="HE345"/>
      <c r="HF345"/>
      <c r="HG345"/>
      <c r="HH345"/>
      <c r="HI345"/>
      <c r="HJ345"/>
      <c r="HK345"/>
      <c r="HL345"/>
      <c r="HM345"/>
      <c r="HN345"/>
      <c r="HO345"/>
      <c r="HP345"/>
      <c r="HQ345"/>
      <c r="HR345"/>
      <c r="HS345"/>
      <c r="HT345"/>
      <c r="HU345"/>
      <c r="HV345"/>
      <c r="HW345"/>
      <c r="HX345"/>
      <c r="HY345"/>
      <c r="HZ345"/>
      <c r="IA345"/>
      <c r="IB345"/>
      <c r="IC345"/>
      <c r="ID345"/>
      <c r="IE345"/>
      <c r="IF345"/>
      <c r="IG345"/>
      <c r="IH345"/>
      <c r="II345"/>
      <c r="IJ345"/>
      <c r="IK345"/>
      <c r="IL345"/>
      <c r="IM345"/>
      <c r="IN345"/>
      <c r="IO345"/>
      <c r="IP345"/>
      <c r="IQ345"/>
      <c r="IR345"/>
      <c r="IS345"/>
      <c r="IT345"/>
      <c r="IU345"/>
      <c r="IV345"/>
      <c r="IW345"/>
      <c r="IX345"/>
      <c r="IY345"/>
      <c r="IZ345"/>
      <c r="JA345"/>
      <c r="JB345"/>
      <c r="JC345"/>
      <c r="JD345"/>
      <c r="JE345"/>
      <c r="JF345"/>
      <c r="JG345"/>
      <c r="JH345"/>
      <c r="JI345"/>
      <c r="JJ345"/>
      <c r="JK345"/>
      <c r="JL345"/>
      <c r="JM345"/>
      <c r="JN345"/>
      <c r="JO345"/>
      <c r="JP345"/>
      <c r="JQ345"/>
      <c r="JR345"/>
      <c r="JS345"/>
      <c r="JT345"/>
      <c r="JU345"/>
      <c r="JV345"/>
      <c r="JW345"/>
      <c r="JX345"/>
      <c r="JY345"/>
      <c r="JZ345"/>
      <c r="KA345"/>
      <c r="KB345"/>
      <c r="KC345"/>
      <c r="KD345"/>
      <c r="KE345"/>
      <c r="KF345"/>
      <c r="KG345"/>
      <c r="KH345"/>
      <c r="KI345"/>
      <c r="KJ345"/>
      <c r="KK345"/>
      <c r="KL345"/>
      <c r="KM345"/>
      <c r="KN345"/>
      <c r="KO345"/>
      <c r="KP345"/>
      <c r="KQ345"/>
      <c r="KR345"/>
      <c r="KS345"/>
    </row>
    <row r="346" spans="2:305" hidden="1" x14ac:dyDescent="0.25">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c r="ER346"/>
      <c r="ES346"/>
      <c r="ET346"/>
      <c r="EU346"/>
      <c r="EV346"/>
      <c r="EW346"/>
      <c r="EX346"/>
      <c r="EY346"/>
      <c r="EZ346"/>
      <c r="FA346"/>
      <c r="FB346"/>
      <c r="FC346"/>
      <c r="FD346"/>
      <c r="FE346"/>
      <c r="FF346"/>
      <c r="FG346"/>
      <c r="FH346"/>
      <c r="FI346"/>
      <c r="FJ346"/>
      <c r="FK346"/>
      <c r="FL346"/>
      <c r="FM346"/>
      <c r="FN346"/>
      <c r="FO346"/>
      <c r="FP346"/>
      <c r="FQ346"/>
      <c r="FR346"/>
      <c r="FS346"/>
      <c r="FT346"/>
      <c r="FU346"/>
      <c r="FV346"/>
      <c r="FW346"/>
      <c r="FX346"/>
      <c r="FY346"/>
      <c r="FZ346"/>
      <c r="GA346"/>
      <c r="GB346"/>
      <c r="GC346"/>
      <c r="GD346"/>
      <c r="GE346"/>
      <c r="GF346"/>
      <c r="GG346"/>
      <c r="GH346"/>
      <c r="GI346"/>
      <c r="GJ346"/>
      <c r="GK346"/>
      <c r="GL346"/>
      <c r="GM346"/>
      <c r="GN346"/>
      <c r="GO346"/>
      <c r="GP346"/>
      <c r="GQ346"/>
      <c r="GR346"/>
      <c r="GS346"/>
      <c r="GT346"/>
      <c r="GU346"/>
      <c r="GV346"/>
      <c r="GW346"/>
      <c r="GX346"/>
      <c r="GY346"/>
      <c r="GZ346"/>
      <c r="HA346"/>
      <c r="HB346"/>
      <c r="HC346"/>
      <c r="HD346"/>
      <c r="HE346"/>
      <c r="HF346"/>
      <c r="HG346"/>
      <c r="HH346"/>
      <c r="HI346"/>
      <c r="HJ346"/>
      <c r="HK346"/>
      <c r="HL346"/>
      <c r="HM346"/>
      <c r="HN346"/>
      <c r="HO346"/>
      <c r="HP346"/>
      <c r="HQ346"/>
      <c r="HR346"/>
      <c r="HS346"/>
      <c r="HT346"/>
      <c r="HU346"/>
      <c r="HV346"/>
      <c r="HW346"/>
      <c r="HX346"/>
      <c r="HY346"/>
      <c r="HZ346"/>
      <c r="IA346"/>
      <c r="IB346"/>
      <c r="IC346"/>
      <c r="ID346"/>
      <c r="IE346"/>
      <c r="IF346"/>
      <c r="IG346"/>
      <c r="IH346"/>
      <c r="II346"/>
      <c r="IJ346"/>
      <c r="IK346"/>
      <c r="IL346"/>
      <c r="IM346"/>
      <c r="IN346"/>
      <c r="IO346"/>
      <c r="IP346"/>
      <c r="IQ346"/>
      <c r="IR346"/>
      <c r="IS346"/>
      <c r="IT346"/>
      <c r="IU346"/>
      <c r="IV346"/>
      <c r="IW346"/>
      <c r="IX346"/>
      <c r="IY346"/>
      <c r="IZ346"/>
      <c r="JA346"/>
      <c r="JB346"/>
      <c r="JC346"/>
      <c r="JD346"/>
      <c r="JE346"/>
      <c r="JF346"/>
      <c r="JG346"/>
      <c r="JH346"/>
      <c r="JI346"/>
      <c r="JJ346"/>
      <c r="JK346"/>
      <c r="JL346"/>
      <c r="JM346"/>
      <c r="JN346"/>
      <c r="JO346"/>
      <c r="JP346"/>
      <c r="JQ346"/>
      <c r="JR346"/>
      <c r="JS346"/>
      <c r="JT346"/>
      <c r="JU346"/>
      <c r="JV346"/>
      <c r="JW346"/>
      <c r="JX346"/>
      <c r="JY346"/>
      <c r="JZ346"/>
      <c r="KA346"/>
      <c r="KB346"/>
      <c r="KC346"/>
      <c r="KD346"/>
      <c r="KE346"/>
      <c r="KF346"/>
      <c r="KG346"/>
      <c r="KH346"/>
      <c r="KI346"/>
      <c r="KJ346"/>
      <c r="KK346"/>
      <c r="KL346"/>
      <c r="KM346"/>
      <c r="KN346"/>
      <c r="KO346"/>
      <c r="KP346"/>
      <c r="KQ346"/>
      <c r="KR346"/>
      <c r="KS346"/>
    </row>
    <row r="347" spans="2:305" hidden="1" x14ac:dyDescent="0.25">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c r="EO347"/>
      <c r="EP347"/>
      <c r="EQ347"/>
      <c r="ER347"/>
      <c r="ES347"/>
      <c r="ET347"/>
      <c r="EU347"/>
      <c r="EV347"/>
      <c r="EW347"/>
      <c r="EX347"/>
      <c r="EY347"/>
      <c r="EZ347"/>
      <c r="FA347"/>
      <c r="FB347"/>
      <c r="FC347"/>
      <c r="FD347"/>
      <c r="FE347"/>
      <c r="FF347"/>
      <c r="FG347"/>
      <c r="FH347"/>
      <c r="FI347"/>
      <c r="FJ347"/>
      <c r="FK347"/>
      <c r="FL347"/>
      <c r="FM347"/>
      <c r="FN347"/>
      <c r="FO347"/>
      <c r="FP347"/>
      <c r="FQ347"/>
      <c r="FR347"/>
      <c r="FS347"/>
      <c r="FT347"/>
      <c r="FU347"/>
      <c r="FV347"/>
      <c r="FW347"/>
      <c r="FX347"/>
      <c r="FY347"/>
      <c r="FZ347"/>
      <c r="GA347"/>
      <c r="GB347"/>
      <c r="GC347"/>
      <c r="GD347"/>
      <c r="GE347"/>
      <c r="GF347"/>
      <c r="GG347"/>
      <c r="GH347"/>
      <c r="GI347"/>
      <c r="GJ347"/>
      <c r="GK347"/>
      <c r="GL347"/>
      <c r="GM347"/>
      <c r="GN347"/>
      <c r="GO347"/>
      <c r="GP347"/>
      <c r="GQ347"/>
      <c r="GR347"/>
      <c r="GS347"/>
      <c r="GT347"/>
      <c r="GU347"/>
      <c r="GV347"/>
      <c r="GW347"/>
      <c r="GX347"/>
      <c r="GY347"/>
      <c r="GZ347"/>
      <c r="HA347"/>
      <c r="HB347"/>
      <c r="HC347"/>
      <c r="HD347"/>
      <c r="HE347"/>
      <c r="HF347"/>
      <c r="HG347"/>
      <c r="HH347"/>
      <c r="HI347"/>
      <c r="HJ347"/>
      <c r="HK347"/>
      <c r="HL347"/>
      <c r="HM347"/>
      <c r="HN347"/>
      <c r="HO347"/>
      <c r="HP347"/>
      <c r="HQ347"/>
      <c r="HR347"/>
      <c r="HS347"/>
      <c r="HT347"/>
      <c r="HU347"/>
      <c r="HV347"/>
      <c r="HW347"/>
      <c r="HX347"/>
      <c r="HY347"/>
      <c r="HZ347"/>
      <c r="IA347"/>
      <c r="IB347"/>
      <c r="IC347"/>
      <c r="ID347"/>
      <c r="IE347"/>
      <c r="IF347"/>
      <c r="IG347"/>
      <c r="IH347"/>
      <c r="II347"/>
      <c r="IJ347"/>
      <c r="IK347"/>
      <c r="IL347"/>
      <c r="IM347"/>
      <c r="IN347"/>
      <c r="IO347"/>
      <c r="IP347"/>
      <c r="IQ347"/>
      <c r="IR347"/>
      <c r="IS347"/>
      <c r="IT347"/>
      <c r="IU347"/>
      <c r="IV347"/>
      <c r="IW347"/>
      <c r="IX347"/>
      <c r="IY347"/>
      <c r="IZ347"/>
      <c r="JA347"/>
      <c r="JB347"/>
      <c r="JC347"/>
      <c r="JD347"/>
      <c r="JE347"/>
      <c r="JF347"/>
      <c r="JG347"/>
      <c r="JH347"/>
      <c r="JI347"/>
      <c r="JJ347"/>
      <c r="JK347"/>
      <c r="JL347"/>
      <c r="JM347"/>
      <c r="JN347"/>
      <c r="JO347"/>
      <c r="JP347"/>
      <c r="JQ347"/>
      <c r="JR347"/>
      <c r="JS347"/>
      <c r="JT347"/>
      <c r="JU347"/>
      <c r="JV347"/>
      <c r="JW347"/>
      <c r="JX347"/>
      <c r="JY347"/>
      <c r="JZ347"/>
      <c r="KA347"/>
      <c r="KB347"/>
      <c r="KC347"/>
      <c r="KD347"/>
      <c r="KE347"/>
      <c r="KF347"/>
      <c r="KG347"/>
      <c r="KH347"/>
      <c r="KI347"/>
      <c r="KJ347"/>
      <c r="KK347"/>
      <c r="KL347"/>
      <c r="KM347"/>
      <c r="KN347"/>
      <c r="KO347"/>
      <c r="KP347"/>
      <c r="KQ347"/>
      <c r="KR347"/>
      <c r="KS347"/>
    </row>
    <row r="348" spans="2:305" hidden="1" x14ac:dyDescent="0.25">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c r="EO348"/>
      <c r="EP348"/>
      <c r="EQ348"/>
      <c r="ER348"/>
      <c r="ES348"/>
      <c r="ET348"/>
      <c r="EU348"/>
      <c r="EV348"/>
      <c r="EW348"/>
      <c r="EX348"/>
      <c r="EY348"/>
      <c r="EZ348"/>
      <c r="FA348"/>
      <c r="FB348"/>
      <c r="FC348"/>
      <c r="FD348"/>
      <c r="FE348"/>
      <c r="FF348"/>
      <c r="FG348"/>
      <c r="FH348"/>
      <c r="FI348"/>
      <c r="FJ348"/>
      <c r="FK348"/>
      <c r="FL348"/>
      <c r="FM348"/>
      <c r="FN348"/>
      <c r="FO348"/>
      <c r="FP348"/>
      <c r="FQ348"/>
      <c r="FR348"/>
      <c r="FS348"/>
      <c r="FT348"/>
      <c r="FU348"/>
      <c r="FV348"/>
      <c r="FW348"/>
      <c r="FX348"/>
      <c r="FY348"/>
      <c r="FZ348"/>
      <c r="GA348"/>
      <c r="GB348"/>
      <c r="GC348"/>
      <c r="GD348"/>
      <c r="GE348"/>
      <c r="GF348"/>
      <c r="GG348"/>
      <c r="GH348"/>
      <c r="GI348"/>
      <c r="GJ348"/>
      <c r="GK348"/>
      <c r="GL348"/>
      <c r="GM348"/>
      <c r="GN348"/>
      <c r="GO348"/>
      <c r="GP348"/>
      <c r="GQ348"/>
      <c r="GR348"/>
      <c r="GS348"/>
      <c r="GT348"/>
      <c r="GU348"/>
      <c r="GV348"/>
      <c r="GW348"/>
      <c r="GX348"/>
      <c r="GY348"/>
      <c r="GZ348"/>
      <c r="HA348"/>
      <c r="HB348"/>
      <c r="HC348"/>
      <c r="HD348"/>
      <c r="HE348"/>
      <c r="HF348"/>
      <c r="HG348"/>
      <c r="HH348"/>
      <c r="HI348"/>
      <c r="HJ348"/>
      <c r="HK348"/>
      <c r="HL348"/>
      <c r="HM348"/>
      <c r="HN348"/>
      <c r="HO348"/>
      <c r="HP348"/>
      <c r="HQ348"/>
      <c r="HR348"/>
      <c r="HS348"/>
      <c r="HT348"/>
      <c r="HU348"/>
      <c r="HV348"/>
      <c r="HW348"/>
      <c r="HX348"/>
      <c r="HY348"/>
      <c r="HZ348"/>
      <c r="IA348"/>
      <c r="IB348"/>
      <c r="IC348"/>
      <c r="ID348"/>
      <c r="IE348"/>
      <c r="IF348"/>
      <c r="IG348"/>
      <c r="IH348"/>
      <c r="II348"/>
      <c r="IJ348"/>
      <c r="IK348"/>
      <c r="IL348"/>
      <c r="IM348"/>
      <c r="IN348"/>
      <c r="IO348"/>
      <c r="IP348"/>
      <c r="IQ348"/>
      <c r="IR348"/>
      <c r="IS348"/>
      <c r="IT348"/>
      <c r="IU348"/>
      <c r="IV348"/>
      <c r="IW348"/>
      <c r="IX348"/>
      <c r="IY348"/>
      <c r="IZ348"/>
      <c r="JA348"/>
      <c r="JB348"/>
      <c r="JC348"/>
      <c r="JD348"/>
      <c r="JE348"/>
      <c r="JF348"/>
      <c r="JG348"/>
      <c r="JH348"/>
      <c r="JI348"/>
      <c r="JJ348"/>
      <c r="JK348"/>
      <c r="JL348"/>
      <c r="JM348"/>
      <c r="JN348"/>
      <c r="JO348"/>
      <c r="JP348"/>
      <c r="JQ348"/>
      <c r="JR348"/>
      <c r="JS348"/>
      <c r="JT348"/>
      <c r="JU348"/>
      <c r="JV348"/>
      <c r="JW348"/>
      <c r="JX348"/>
      <c r="JY348"/>
      <c r="JZ348"/>
      <c r="KA348"/>
      <c r="KB348"/>
      <c r="KC348"/>
      <c r="KD348"/>
      <c r="KE348"/>
      <c r="KF348"/>
      <c r="KG348"/>
      <c r="KH348"/>
      <c r="KI348"/>
      <c r="KJ348"/>
      <c r="KK348"/>
      <c r="KL348"/>
      <c r="KM348"/>
      <c r="KN348"/>
      <c r="KO348"/>
      <c r="KP348"/>
      <c r="KQ348"/>
      <c r="KR348"/>
      <c r="KS348"/>
    </row>
    <row r="349" spans="2:305" hidden="1" x14ac:dyDescent="0.25">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c r="EO349"/>
      <c r="EP349"/>
      <c r="EQ349"/>
      <c r="ER349"/>
      <c r="ES349"/>
      <c r="ET349"/>
      <c r="EU349"/>
      <c r="EV349"/>
      <c r="EW349"/>
      <c r="EX349"/>
      <c r="EY349"/>
      <c r="EZ349"/>
      <c r="FA349"/>
      <c r="FB349"/>
      <c r="FC349"/>
      <c r="FD349"/>
      <c r="FE349"/>
      <c r="FF349"/>
      <c r="FG349"/>
      <c r="FH349"/>
      <c r="FI349"/>
      <c r="FJ349"/>
      <c r="FK349"/>
      <c r="FL349"/>
      <c r="FM349"/>
      <c r="FN349"/>
      <c r="FO349"/>
      <c r="FP349"/>
      <c r="FQ349"/>
      <c r="FR349"/>
      <c r="FS349"/>
      <c r="FT349"/>
      <c r="FU349"/>
      <c r="FV349"/>
      <c r="FW349"/>
      <c r="FX349"/>
      <c r="FY349"/>
      <c r="FZ349"/>
      <c r="GA349"/>
      <c r="GB349"/>
      <c r="GC349"/>
      <c r="GD349"/>
      <c r="GE349"/>
      <c r="GF349"/>
      <c r="GG349"/>
      <c r="GH349"/>
      <c r="GI349"/>
      <c r="GJ349"/>
      <c r="GK349"/>
      <c r="GL349"/>
      <c r="GM349"/>
      <c r="GN349"/>
      <c r="GO349"/>
      <c r="GP349"/>
      <c r="GQ349"/>
      <c r="GR349"/>
      <c r="GS349"/>
      <c r="GT349"/>
      <c r="GU349"/>
      <c r="GV349"/>
      <c r="GW349"/>
      <c r="GX349"/>
      <c r="GY349"/>
      <c r="GZ349"/>
      <c r="HA349"/>
      <c r="HB349"/>
      <c r="HC349"/>
      <c r="HD349"/>
      <c r="HE349"/>
      <c r="HF349"/>
      <c r="HG349"/>
      <c r="HH349"/>
      <c r="HI349"/>
      <c r="HJ349"/>
      <c r="HK349"/>
      <c r="HL349"/>
      <c r="HM349"/>
      <c r="HN349"/>
      <c r="HO349"/>
      <c r="HP349"/>
      <c r="HQ349"/>
      <c r="HR349"/>
      <c r="HS349"/>
      <c r="HT349"/>
      <c r="HU349"/>
      <c r="HV349"/>
      <c r="HW349"/>
      <c r="HX349"/>
      <c r="HY349"/>
      <c r="HZ349"/>
      <c r="IA349"/>
      <c r="IB349"/>
      <c r="IC349"/>
      <c r="ID349"/>
      <c r="IE349"/>
      <c r="IF349"/>
      <c r="IG349"/>
      <c r="IH349"/>
      <c r="II349"/>
      <c r="IJ349"/>
      <c r="IK349"/>
      <c r="IL349"/>
      <c r="IM349"/>
      <c r="IN349"/>
      <c r="IO349"/>
      <c r="IP349"/>
      <c r="IQ349"/>
      <c r="IR349"/>
      <c r="IS349"/>
      <c r="IT349"/>
      <c r="IU349"/>
      <c r="IV349"/>
      <c r="IW349"/>
      <c r="IX349"/>
      <c r="IY349"/>
      <c r="IZ349"/>
      <c r="JA349"/>
      <c r="JB349"/>
      <c r="JC349"/>
      <c r="JD349"/>
      <c r="JE349"/>
      <c r="JF349"/>
      <c r="JG349"/>
      <c r="JH349"/>
      <c r="JI349"/>
      <c r="JJ349"/>
      <c r="JK349"/>
      <c r="JL349"/>
      <c r="JM349"/>
      <c r="JN349"/>
      <c r="JO349"/>
      <c r="JP349"/>
      <c r="JQ349"/>
      <c r="JR349"/>
      <c r="JS349"/>
      <c r="JT349"/>
      <c r="JU349"/>
      <c r="JV349"/>
      <c r="JW349"/>
      <c r="JX349"/>
      <c r="JY349"/>
      <c r="JZ349"/>
      <c r="KA349"/>
      <c r="KB349"/>
      <c r="KC349"/>
      <c r="KD349"/>
      <c r="KE349"/>
      <c r="KF349"/>
      <c r="KG349"/>
      <c r="KH349"/>
      <c r="KI349"/>
      <c r="KJ349"/>
      <c r="KK349"/>
      <c r="KL349"/>
      <c r="KM349"/>
      <c r="KN349"/>
      <c r="KO349"/>
      <c r="KP349"/>
      <c r="KQ349"/>
      <c r="KR349"/>
      <c r="KS349"/>
    </row>
    <row r="350" spans="2:305" hidden="1" x14ac:dyDescent="0.25">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c r="EO350"/>
      <c r="EP350"/>
      <c r="EQ350"/>
      <c r="ER350"/>
      <c r="ES350"/>
      <c r="ET350"/>
      <c r="EU350"/>
      <c r="EV350"/>
      <c r="EW350"/>
      <c r="EX350"/>
      <c r="EY350"/>
      <c r="EZ350"/>
      <c r="FA350"/>
      <c r="FB350"/>
      <c r="FC350"/>
      <c r="FD350"/>
      <c r="FE350"/>
      <c r="FF350"/>
      <c r="FG350"/>
      <c r="FH350"/>
      <c r="FI350"/>
      <c r="FJ350"/>
      <c r="FK350"/>
      <c r="FL350"/>
      <c r="FM350"/>
      <c r="FN350"/>
      <c r="FO350"/>
      <c r="FP350"/>
      <c r="FQ350"/>
      <c r="FR350"/>
      <c r="FS350"/>
      <c r="FT350"/>
      <c r="FU350"/>
      <c r="FV350"/>
      <c r="FW350"/>
      <c r="FX350"/>
      <c r="FY350"/>
      <c r="FZ350"/>
      <c r="GA350"/>
      <c r="GB350"/>
      <c r="GC350"/>
      <c r="GD350"/>
      <c r="GE350"/>
      <c r="GF350"/>
      <c r="GG350"/>
      <c r="GH350"/>
      <c r="GI350"/>
      <c r="GJ350"/>
      <c r="GK350"/>
      <c r="GL350"/>
      <c r="GM350"/>
      <c r="GN350"/>
      <c r="GO350"/>
      <c r="GP350"/>
      <c r="GQ350"/>
      <c r="GR350"/>
      <c r="GS350"/>
      <c r="GT350"/>
      <c r="GU350"/>
      <c r="GV350"/>
      <c r="GW350"/>
      <c r="GX350"/>
      <c r="GY350"/>
      <c r="GZ350"/>
      <c r="HA350"/>
      <c r="HB350"/>
      <c r="HC350"/>
      <c r="HD350"/>
      <c r="HE350"/>
      <c r="HF350"/>
      <c r="HG350"/>
      <c r="HH350"/>
      <c r="HI350"/>
      <c r="HJ350"/>
      <c r="HK350"/>
      <c r="HL350"/>
      <c r="HM350"/>
      <c r="HN350"/>
      <c r="HO350"/>
      <c r="HP350"/>
      <c r="HQ350"/>
      <c r="HR350"/>
      <c r="HS350"/>
      <c r="HT350"/>
      <c r="HU350"/>
      <c r="HV350"/>
      <c r="HW350"/>
      <c r="HX350"/>
      <c r="HY350"/>
      <c r="HZ350"/>
      <c r="IA350"/>
      <c r="IB350"/>
      <c r="IC350"/>
      <c r="ID350"/>
      <c r="IE350"/>
      <c r="IF350"/>
      <c r="IG350"/>
      <c r="IH350"/>
      <c r="II350"/>
      <c r="IJ350"/>
      <c r="IK350"/>
      <c r="IL350"/>
      <c r="IM350"/>
      <c r="IN350"/>
      <c r="IO350"/>
      <c r="IP350"/>
      <c r="IQ350"/>
      <c r="IR350"/>
      <c r="IS350"/>
      <c r="IT350"/>
      <c r="IU350"/>
      <c r="IV350"/>
      <c r="IW350"/>
      <c r="IX350"/>
      <c r="IY350"/>
      <c r="IZ350"/>
      <c r="JA350"/>
      <c r="JB350"/>
      <c r="JC350"/>
      <c r="JD350"/>
      <c r="JE350"/>
      <c r="JF350"/>
      <c r="JG350"/>
      <c r="JH350"/>
      <c r="JI350"/>
      <c r="JJ350"/>
      <c r="JK350"/>
      <c r="JL350"/>
      <c r="JM350"/>
      <c r="JN350"/>
      <c r="JO350"/>
      <c r="JP350"/>
      <c r="JQ350"/>
      <c r="JR350"/>
      <c r="JS350"/>
      <c r="JT350"/>
      <c r="JU350"/>
      <c r="JV350"/>
      <c r="JW350"/>
      <c r="JX350"/>
      <c r="JY350"/>
      <c r="JZ350"/>
      <c r="KA350"/>
      <c r="KB350"/>
      <c r="KC350"/>
      <c r="KD350"/>
      <c r="KE350"/>
      <c r="KF350"/>
      <c r="KG350"/>
      <c r="KH350"/>
      <c r="KI350"/>
      <c r="KJ350"/>
      <c r="KK350"/>
      <c r="KL350"/>
      <c r="KM350"/>
      <c r="KN350"/>
      <c r="KO350"/>
      <c r="KP350"/>
      <c r="KQ350"/>
      <c r="KR350"/>
      <c r="KS350"/>
    </row>
    <row r="351" spans="2:305" hidden="1" x14ac:dyDescent="0.25">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c r="EO351"/>
      <c r="EP351"/>
      <c r="EQ351"/>
      <c r="ER351"/>
      <c r="ES351"/>
      <c r="ET351"/>
      <c r="EU351"/>
      <c r="EV351"/>
      <c r="EW351"/>
      <c r="EX351"/>
      <c r="EY351"/>
      <c r="EZ351"/>
      <c r="FA351"/>
      <c r="FB351"/>
      <c r="FC351"/>
      <c r="FD351"/>
      <c r="FE351"/>
      <c r="FF351"/>
      <c r="FG351"/>
      <c r="FH351"/>
      <c r="FI351"/>
      <c r="FJ351"/>
      <c r="FK351"/>
      <c r="FL351"/>
      <c r="FM351"/>
      <c r="FN351"/>
      <c r="FO351"/>
      <c r="FP351"/>
      <c r="FQ351"/>
      <c r="FR351"/>
      <c r="FS351"/>
      <c r="FT351"/>
      <c r="FU351"/>
      <c r="FV351"/>
      <c r="FW351"/>
      <c r="FX351"/>
      <c r="FY351"/>
      <c r="FZ351"/>
      <c r="GA351"/>
      <c r="GB351"/>
      <c r="GC351"/>
      <c r="GD351"/>
      <c r="GE351"/>
      <c r="GF351"/>
      <c r="GG351"/>
      <c r="GH351"/>
      <c r="GI351"/>
      <c r="GJ351"/>
      <c r="GK351"/>
      <c r="GL351"/>
      <c r="GM351"/>
      <c r="GN351"/>
      <c r="GO351"/>
      <c r="GP351"/>
      <c r="GQ351"/>
      <c r="GR351"/>
      <c r="GS351"/>
      <c r="GT351"/>
      <c r="GU351"/>
      <c r="GV351"/>
      <c r="GW351"/>
      <c r="GX351"/>
      <c r="GY351"/>
      <c r="GZ351"/>
      <c r="HA351"/>
      <c r="HB351"/>
      <c r="HC351"/>
      <c r="HD351"/>
      <c r="HE351"/>
      <c r="HF351"/>
      <c r="HG351"/>
      <c r="HH351"/>
      <c r="HI351"/>
      <c r="HJ351"/>
      <c r="HK351"/>
      <c r="HL351"/>
      <c r="HM351"/>
      <c r="HN351"/>
      <c r="HO351"/>
      <c r="HP351"/>
      <c r="HQ351"/>
      <c r="HR351"/>
      <c r="HS351"/>
      <c r="HT351"/>
      <c r="HU351"/>
      <c r="HV351"/>
      <c r="HW351"/>
      <c r="HX351"/>
      <c r="HY351"/>
      <c r="HZ351"/>
      <c r="IA351"/>
      <c r="IB351"/>
      <c r="IC351"/>
      <c r="ID351"/>
      <c r="IE351"/>
      <c r="IF351"/>
      <c r="IG351"/>
      <c r="IH351"/>
      <c r="II351"/>
      <c r="IJ351"/>
      <c r="IK351"/>
      <c r="IL351"/>
      <c r="IM351"/>
      <c r="IN351"/>
      <c r="IO351"/>
      <c r="IP351"/>
      <c r="IQ351"/>
      <c r="IR351"/>
      <c r="IS351"/>
      <c r="IT351"/>
      <c r="IU351"/>
      <c r="IV351"/>
      <c r="IW351"/>
      <c r="IX351"/>
      <c r="IY351"/>
      <c r="IZ351"/>
      <c r="JA351"/>
      <c r="JB351"/>
      <c r="JC351"/>
      <c r="JD351"/>
      <c r="JE351"/>
      <c r="JF351"/>
      <c r="JG351"/>
      <c r="JH351"/>
      <c r="JI351"/>
      <c r="JJ351"/>
      <c r="JK351"/>
      <c r="JL351"/>
      <c r="JM351"/>
      <c r="JN351"/>
      <c r="JO351"/>
      <c r="JP351"/>
      <c r="JQ351"/>
      <c r="JR351"/>
      <c r="JS351"/>
      <c r="JT351"/>
      <c r="JU351"/>
      <c r="JV351"/>
      <c r="JW351"/>
      <c r="JX351"/>
      <c r="JY351"/>
      <c r="JZ351"/>
      <c r="KA351"/>
      <c r="KB351"/>
      <c r="KC351"/>
      <c r="KD351"/>
      <c r="KE351"/>
      <c r="KF351"/>
      <c r="KG351"/>
      <c r="KH351"/>
      <c r="KI351"/>
      <c r="KJ351"/>
      <c r="KK351"/>
      <c r="KL351"/>
      <c r="KM351"/>
      <c r="KN351"/>
      <c r="KO351"/>
      <c r="KP351"/>
      <c r="KQ351"/>
      <c r="KR351"/>
      <c r="KS351"/>
    </row>
    <row r="352" spans="2:305" hidden="1" x14ac:dyDescent="0.25">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c r="EO352"/>
      <c r="EP352"/>
      <c r="EQ352"/>
      <c r="ER352"/>
      <c r="ES352"/>
      <c r="ET352"/>
      <c r="EU352"/>
      <c r="EV352"/>
      <c r="EW352"/>
      <c r="EX352"/>
      <c r="EY352"/>
      <c r="EZ352"/>
      <c r="FA352"/>
      <c r="FB352"/>
      <c r="FC352"/>
      <c r="FD352"/>
      <c r="FE352"/>
      <c r="FF352"/>
      <c r="FG352"/>
      <c r="FH352"/>
      <c r="FI352"/>
      <c r="FJ352"/>
      <c r="FK352"/>
      <c r="FL352"/>
      <c r="FM352"/>
      <c r="FN352"/>
      <c r="FO352"/>
      <c r="FP352"/>
      <c r="FQ352"/>
      <c r="FR352"/>
      <c r="FS352"/>
      <c r="FT352"/>
      <c r="FU352"/>
      <c r="FV352"/>
      <c r="FW352"/>
      <c r="FX352"/>
      <c r="FY352"/>
      <c r="FZ352"/>
      <c r="GA352"/>
      <c r="GB352"/>
      <c r="GC352"/>
      <c r="GD352"/>
      <c r="GE352"/>
      <c r="GF352"/>
      <c r="GG352"/>
      <c r="GH352"/>
      <c r="GI352"/>
      <c r="GJ352"/>
      <c r="GK352"/>
      <c r="GL352"/>
      <c r="GM352"/>
      <c r="GN352"/>
      <c r="GO352"/>
      <c r="GP352"/>
      <c r="GQ352"/>
      <c r="GR352"/>
      <c r="GS352"/>
      <c r="GT352"/>
      <c r="GU352"/>
      <c r="GV352"/>
      <c r="GW352"/>
      <c r="GX352"/>
      <c r="GY352"/>
      <c r="GZ352"/>
      <c r="HA352"/>
      <c r="HB352"/>
      <c r="HC352"/>
      <c r="HD352"/>
      <c r="HE352"/>
      <c r="HF352"/>
      <c r="HG352"/>
      <c r="HH352"/>
      <c r="HI352"/>
      <c r="HJ352"/>
      <c r="HK352"/>
      <c r="HL352"/>
      <c r="HM352"/>
      <c r="HN352"/>
      <c r="HO352"/>
      <c r="HP352"/>
      <c r="HQ352"/>
      <c r="HR352"/>
      <c r="HS352"/>
      <c r="HT352"/>
      <c r="HU352"/>
      <c r="HV352"/>
      <c r="HW352"/>
      <c r="HX352"/>
      <c r="HY352"/>
      <c r="HZ352"/>
      <c r="IA352"/>
      <c r="IB352"/>
      <c r="IC352"/>
      <c r="ID352"/>
      <c r="IE352"/>
      <c r="IF352"/>
      <c r="IG352"/>
      <c r="IH352"/>
      <c r="II352"/>
      <c r="IJ352"/>
      <c r="IK352"/>
      <c r="IL352"/>
      <c r="IM352"/>
      <c r="IN352"/>
      <c r="IO352"/>
      <c r="IP352"/>
      <c r="IQ352"/>
      <c r="IR352"/>
      <c r="IS352"/>
      <c r="IT352"/>
      <c r="IU352"/>
      <c r="IV352"/>
      <c r="IW352"/>
      <c r="IX352"/>
      <c r="IY352"/>
      <c r="IZ352"/>
      <c r="JA352"/>
      <c r="JB352"/>
      <c r="JC352"/>
      <c r="JD352"/>
      <c r="JE352"/>
      <c r="JF352"/>
      <c r="JG352"/>
      <c r="JH352"/>
      <c r="JI352"/>
      <c r="JJ352"/>
      <c r="JK352"/>
      <c r="JL352"/>
      <c r="JM352"/>
      <c r="JN352"/>
      <c r="JO352"/>
      <c r="JP352"/>
      <c r="JQ352"/>
      <c r="JR352"/>
      <c r="JS352"/>
      <c r="JT352"/>
      <c r="JU352"/>
      <c r="JV352"/>
      <c r="JW352"/>
      <c r="JX352"/>
      <c r="JY352"/>
      <c r="JZ352"/>
      <c r="KA352"/>
      <c r="KB352"/>
      <c r="KC352"/>
      <c r="KD352"/>
      <c r="KE352"/>
      <c r="KF352"/>
      <c r="KG352"/>
      <c r="KH352"/>
      <c r="KI352"/>
      <c r="KJ352"/>
      <c r="KK352"/>
      <c r="KL352"/>
      <c r="KM352"/>
      <c r="KN352"/>
      <c r="KO352"/>
      <c r="KP352"/>
      <c r="KQ352"/>
      <c r="KR352"/>
      <c r="KS352"/>
    </row>
    <row r="353" spans="2:305" hidden="1" x14ac:dyDescent="0.25">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c r="EO353"/>
      <c r="EP353"/>
      <c r="EQ353"/>
      <c r="ER353"/>
      <c r="ES353"/>
      <c r="ET353"/>
      <c r="EU353"/>
      <c r="EV353"/>
      <c r="EW353"/>
      <c r="EX353"/>
      <c r="EY353"/>
      <c r="EZ353"/>
      <c r="FA353"/>
      <c r="FB353"/>
      <c r="FC353"/>
      <c r="FD353"/>
      <c r="FE353"/>
      <c r="FF353"/>
      <c r="FG353"/>
      <c r="FH353"/>
      <c r="FI353"/>
      <c r="FJ353"/>
      <c r="FK353"/>
      <c r="FL353"/>
      <c r="FM353"/>
      <c r="FN353"/>
      <c r="FO353"/>
      <c r="FP353"/>
      <c r="FQ353"/>
      <c r="FR353"/>
      <c r="FS353"/>
      <c r="FT353"/>
      <c r="FU353"/>
      <c r="FV353"/>
      <c r="FW353"/>
      <c r="FX353"/>
      <c r="FY353"/>
      <c r="FZ353"/>
      <c r="GA353"/>
      <c r="GB353"/>
      <c r="GC353"/>
      <c r="GD353"/>
      <c r="GE353"/>
      <c r="GF353"/>
      <c r="GG353"/>
      <c r="GH353"/>
      <c r="GI353"/>
      <c r="GJ353"/>
      <c r="GK353"/>
      <c r="GL353"/>
      <c r="GM353"/>
      <c r="GN353"/>
      <c r="GO353"/>
      <c r="GP353"/>
      <c r="GQ353"/>
      <c r="GR353"/>
      <c r="GS353"/>
      <c r="GT353"/>
      <c r="GU353"/>
      <c r="GV353"/>
      <c r="GW353"/>
      <c r="GX353"/>
      <c r="GY353"/>
      <c r="GZ353"/>
      <c r="HA353"/>
      <c r="HB353"/>
      <c r="HC353"/>
      <c r="HD353"/>
      <c r="HE353"/>
      <c r="HF353"/>
      <c r="HG353"/>
      <c r="HH353"/>
      <c r="HI353"/>
      <c r="HJ353"/>
      <c r="HK353"/>
      <c r="HL353"/>
      <c r="HM353"/>
      <c r="HN353"/>
      <c r="HO353"/>
      <c r="HP353"/>
      <c r="HQ353"/>
      <c r="HR353"/>
      <c r="HS353"/>
      <c r="HT353"/>
      <c r="HU353"/>
      <c r="HV353"/>
      <c r="HW353"/>
      <c r="HX353"/>
      <c r="HY353"/>
      <c r="HZ353"/>
      <c r="IA353"/>
      <c r="IB353"/>
      <c r="IC353"/>
      <c r="ID353"/>
      <c r="IE353"/>
      <c r="IF353"/>
      <c r="IG353"/>
      <c r="IH353"/>
      <c r="II353"/>
      <c r="IJ353"/>
      <c r="IK353"/>
      <c r="IL353"/>
      <c r="IM353"/>
      <c r="IN353"/>
      <c r="IO353"/>
      <c r="IP353"/>
      <c r="IQ353"/>
      <c r="IR353"/>
      <c r="IS353"/>
      <c r="IT353"/>
      <c r="IU353"/>
      <c r="IV353"/>
      <c r="IW353"/>
      <c r="IX353"/>
      <c r="IY353"/>
      <c r="IZ353"/>
      <c r="JA353"/>
      <c r="JB353"/>
      <c r="JC353"/>
      <c r="JD353"/>
      <c r="JE353"/>
      <c r="JF353"/>
      <c r="JG353"/>
      <c r="JH353"/>
      <c r="JI353"/>
      <c r="JJ353"/>
      <c r="JK353"/>
      <c r="JL353"/>
      <c r="JM353"/>
      <c r="JN353"/>
      <c r="JO353"/>
      <c r="JP353"/>
      <c r="JQ353"/>
      <c r="JR353"/>
      <c r="JS353"/>
      <c r="JT353"/>
      <c r="JU353"/>
      <c r="JV353"/>
      <c r="JW353"/>
      <c r="JX353"/>
      <c r="JY353"/>
      <c r="JZ353"/>
      <c r="KA353"/>
      <c r="KB353"/>
      <c r="KC353"/>
      <c r="KD353"/>
      <c r="KE353"/>
      <c r="KF353"/>
      <c r="KG353"/>
      <c r="KH353"/>
      <c r="KI353"/>
      <c r="KJ353"/>
      <c r="KK353"/>
      <c r="KL353"/>
      <c r="KM353"/>
      <c r="KN353"/>
      <c r="KO353"/>
      <c r="KP353"/>
      <c r="KQ353"/>
      <c r="KR353"/>
      <c r="KS353"/>
    </row>
    <row r="354" spans="2:305" hidden="1" x14ac:dyDescent="0.25">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c r="EO354"/>
      <c r="EP354"/>
      <c r="EQ354"/>
      <c r="ER354"/>
      <c r="ES354"/>
      <c r="ET354"/>
      <c r="EU354"/>
      <c r="EV354"/>
      <c r="EW354"/>
      <c r="EX354"/>
      <c r="EY354"/>
      <c r="EZ354"/>
      <c r="FA354"/>
      <c r="FB354"/>
      <c r="FC354"/>
      <c r="FD354"/>
      <c r="FE354"/>
      <c r="FF354"/>
      <c r="FG354"/>
      <c r="FH354"/>
      <c r="FI354"/>
      <c r="FJ354"/>
      <c r="FK354"/>
      <c r="FL354"/>
      <c r="FM354"/>
      <c r="FN354"/>
      <c r="FO354"/>
      <c r="FP354"/>
      <c r="FQ354"/>
      <c r="FR354"/>
      <c r="FS354"/>
      <c r="FT354"/>
      <c r="FU354"/>
      <c r="FV354"/>
      <c r="FW354"/>
      <c r="FX354"/>
      <c r="FY354"/>
      <c r="FZ354"/>
      <c r="GA354"/>
      <c r="GB354"/>
      <c r="GC354"/>
      <c r="GD354"/>
      <c r="GE354"/>
      <c r="GF354"/>
      <c r="GG354"/>
      <c r="GH354"/>
      <c r="GI354"/>
      <c r="GJ354"/>
      <c r="GK354"/>
      <c r="GL354"/>
      <c r="GM354"/>
      <c r="GN354"/>
      <c r="GO354"/>
      <c r="GP354"/>
      <c r="GQ354"/>
      <c r="GR354"/>
      <c r="GS354"/>
      <c r="GT354"/>
      <c r="GU354"/>
      <c r="GV354"/>
      <c r="GW354"/>
      <c r="GX354"/>
      <c r="GY354"/>
      <c r="GZ354"/>
      <c r="HA354"/>
      <c r="HB354"/>
      <c r="HC354"/>
      <c r="HD354"/>
      <c r="HE354"/>
      <c r="HF354"/>
      <c r="HG354"/>
      <c r="HH354"/>
      <c r="HI354"/>
      <c r="HJ354"/>
      <c r="HK354"/>
      <c r="HL354"/>
      <c r="HM354"/>
      <c r="HN354"/>
      <c r="HO354"/>
      <c r="HP354"/>
      <c r="HQ354"/>
      <c r="HR354"/>
      <c r="HS354"/>
      <c r="HT354"/>
      <c r="HU354"/>
      <c r="HV354"/>
      <c r="HW354"/>
      <c r="HX354"/>
      <c r="HY354"/>
      <c r="HZ354"/>
      <c r="IA354"/>
      <c r="IB354"/>
      <c r="IC354"/>
      <c r="ID354"/>
      <c r="IE354"/>
      <c r="IF354"/>
      <c r="IG354"/>
      <c r="IH354"/>
      <c r="II354"/>
      <c r="IJ354"/>
      <c r="IK354"/>
      <c r="IL354"/>
      <c r="IM354"/>
      <c r="IN354"/>
      <c r="IO354"/>
      <c r="IP354"/>
      <c r="IQ354"/>
      <c r="IR354"/>
      <c r="IS354"/>
      <c r="IT354"/>
      <c r="IU354"/>
      <c r="IV354"/>
      <c r="IW354"/>
      <c r="IX354"/>
      <c r="IY354"/>
      <c r="IZ354"/>
      <c r="JA354"/>
      <c r="JB354"/>
      <c r="JC354"/>
      <c r="JD354"/>
      <c r="JE354"/>
      <c r="JF354"/>
      <c r="JG354"/>
      <c r="JH354"/>
      <c r="JI354"/>
      <c r="JJ354"/>
      <c r="JK354"/>
      <c r="JL354"/>
      <c r="JM354"/>
      <c r="JN354"/>
      <c r="JO354"/>
      <c r="JP354"/>
      <c r="JQ354"/>
      <c r="JR354"/>
      <c r="JS354"/>
      <c r="JT354"/>
      <c r="JU354"/>
      <c r="JV354"/>
      <c r="JW354"/>
      <c r="JX354"/>
      <c r="JY354"/>
      <c r="JZ354"/>
      <c r="KA354"/>
      <c r="KB354"/>
      <c r="KC354"/>
      <c r="KD354"/>
      <c r="KE354"/>
      <c r="KF354"/>
      <c r="KG354"/>
      <c r="KH354"/>
      <c r="KI354"/>
      <c r="KJ354"/>
      <c r="KK354"/>
      <c r="KL354"/>
      <c r="KM354"/>
      <c r="KN354"/>
      <c r="KO354"/>
      <c r="KP354"/>
      <c r="KQ354"/>
      <c r="KR354"/>
      <c r="KS354"/>
    </row>
    <row r="355" spans="2:305" hidden="1" x14ac:dyDescent="0.2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ER355"/>
      <c r="ES355"/>
      <c r="ET355"/>
      <c r="EU355"/>
      <c r="EV355"/>
      <c r="EW355"/>
      <c r="EX355"/>
      <c r="EY355"/>
      <c r="EZ355"/>
      <c r="FA355"/>
      <c r="FB355"/>
      <c r="FC355"/>
      <c r="FD355"/>
      <c r="FE355"/>
      <c r="FF355"/>
      <c r="FG355"/>
      <c r="FH355"/>
      <c r="FI355"/>
      <c r="FJ355"/>
      <c r="FK355"/>
      <c r="FL355"/>
      <c r="FM355"/>
      <c r="FN355"/>
      <c r="FO355"/>
      <c r="FP355"/>
      <c r="FQ355"/>
      <c r="FR355"/>
      <c r="FS355"/>
      <c r="FT355"/>
      <c r="FU355"/>
      <c r="FV355"/>
      <c r="FW355"/>
      <c r="FX355"/>
      <c r="FY355"/>
      <c r="FZ355"/>
      <c r="GA355"/>
      <c r="GB355"/>
      <c r="GC355"/>
      <c r="GD355"/>
      <c r="GE355"/>
      <c r="GF355"/>
      <c r="GG355"/>
      <c r="GH355"/>
      <c r="GI355"/>
      <c r="GJ355"/>
      <c r="GK355"/>
      <c r="GL355"/>
      <c r="GM355"/>
      <c r="GN355"/>
      <c r="GO355"/>
      <c r="GP355"/>
      <c r="GQ355"/>
      <c r="GR355"/>
      <c r="GS355"/>
      <c r="GT355"/>
      <c r="GU355"/>
      <c r="GV355"/>
      <c r="GW355"/>
      <c r="GX355"/>
      <c r="GY355"/>
      <c r="GZ355"/>
      <c r="HA355"/>
      <c r="HB355"/>
      <c r="HC355"/>
      <c r="HD355"/>
      <c r="HE355"/>
      <c r="HF355"/>
      <c r="HG355"/>
      <c r="HH355"/>
      <c r="HI355"/>
      <c r="HJ355"/>
      <c r="HK355"/>
      <c r="HL355"/>
      <c r="HM355"/>
      <c r="HN355"/>
      <c r="HO355"/>
      <c r="HP355"/>
      <c r="HQ355"/>
      <c r="HR355"/>
      <c r="HS355"/>
      <c r="HT355"/>
      <c r="HU355"/>
      <c r="HV355"/>
      <c r="HW355"/>
      <c r="HX355"/>
      <c r="HY355"/>
      <c r="HZ355"/>
      <c r="IA355"/>
      <c r="IB355"/>
      <c r="IC355"/>
      <c r="ID355"/>
      <c r="IE355"/>
      <c r="IF355"/>
      <c r="IG355"/>
      <c r="IH355"/>
      <c r="II355"/>
      <c r="IJ355"/>
      <c r="IK355"/>
      <c r="IL355"/>
      <c r="IM355"/>
      <c r="IN355"/>
      <c r="IO355"/>
      <c r="IP355"/>
      <c r="IQ355"/>
      <c r="IR355"/>
      <c r="IS355"/>
      <c r="IT355"/>
      <c r="IU355"/>
      <c r="IV355"/>
      <c r="IW355"/>
      <c r="IX355"/>
      <c r="IY355"/>
      <c r="IZ355"/>
      <c r="JA355"/>
      <c r="JB355"/>
      <c r="JC355"/>
      <c r="JD355"/>
      <c r="JE355"/>
      <c r="JF355"/>
      <c r="JG355"/>
      <c r="JH355"/>
      <c r="JI355"/>
      <c r="JJ355"/>
      <c r="JK355"/>
      <c r="JL355"/>
      <c r="JM355"/>
      <c r="JN355"/>
      <c r="JO355"/>
      <c r="JP355"/>
      <c r="JQ355"/>
      <c r="JR355"/>
      <c r="JS355"/>
      <c r="JT355"/>
      <c r="JU355"/>
      <c r="JV355"/>
      <c r="JW355"/>
      <c r="JX355"/>
      <c r="JY355"/>
      <c r="JZ355"/>
      <c r="KA355"/>
      <c r="KB355"/>
      <c r="KC355"/>
      <c r="KD355"/>
      <c r="KE355"/>
      <c r="KF355"/>
      <c r="KG355"/>
      <c r="KH355"/>
      <c r="KI355"/>
      <c r="KJ355"/>
      <c r="KK355"/>
      <c r="KL355"/>
      <c r="KM355"/>
      <c r="KN355"/>
      <c r="KO355"/>
      <c r="KP355"/>
      <c r="KQ355"/>
      <c r="KR355"/>
      <c r="KS355"/>
    </row>
    <row r="356" spans="2:305" hidden="1" x14ac:dyDescent="0.25">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ER356"/>
      <c r="ES356"/>
      <c r="ET356"/>
      <c r="EU356"/>
      <c r="EV356"/>
      <c r="EW356"/>
      <c r="EX356"/>
      <c r="EY356"/>
      <c r="EZ356"/>
      <c r="FA356"/>
      <c r="FB356"/>
      <c r="FC356"/>
      <c r="FD356"/>
      <c r="FE356"/>
      <c r="FF356"/>
      <c r="FG356"/>
      <c r="FH356"/>
      <c r="FI356"/>
      <c r="FJ356"/>
      <c r="FK356"/>
      <c r="FL356"/>
      <c r="FM356"/>
      <c r="FN356"/>
      <c r="FO356"/>
      <c r="FP356"/>
      <c r="FQ356"/>
      <c r="FR356"/>
      <c r="FS356"/>
      <c r="FT356"/>
      <c r="FU356"/>
      <c r="FV356"/>
      <c r="FW356"/>
      <c r="FX356"/>
      <c r="FY356"/>
      <c r="FZ356"/>
      <c r="GA356"/>
      <c r="GB356"/>
      <c r="GC356"/>
      <c r="GD356"/>
      <c r="GE356"/>
      <c r="GF356"/>
      <c r="GG356"/>
      <c r="GH356"/>
      <c r="GI356"/>
      <c r="GJ356"/>
      <c r="GK356"/>
      <c r="GL356"/>
      <c r="GM356"/>
      <c r="GN356"/>
      <c r="GO356"/>
      <c r="GP356"/>
      <c r="GQ356"/>
      <c r="GR356"/>
      <c r="GS356"/>
      <c r="GT356"/>
      <c r="GU356"/>
      <c r="GV356"/>
      <c r="GW356"/>
      <c r="GX356"/>
      <c r="GY356"/>
      <c r="GZ356"/>
      <c r="HA356"/>
      <c r="HB356"/>
      <c r="HC356"/>
      <c r="HD356"/>
      <c r="HE356"/>
      <c r="HF356"/>
      <c r="HG356"/>
      <c r="HH356"/>
      <c r="HI356"/>
      <c r="HJ356"/>
      <c r="HK356"/>
      <c r="HL356"/>
      <c r="HM356"/>
      <c r="HN356"/>
      <c r="HO356"/>
      <c r="HP356"/>
      <c r="HQ356"/>
      <c r="HR356"/>
      <c r="HS356"/>
      <c r="HT356"/>
      <c r="HU356"/>
      <c r="HV356"/>
      <c r="HW356"/>
      <c r="HX356"/>
      <c r="HY356"/>
      <c r="HZ356"/>
      <c r="IA356"/>
      <c r="IB356"/>
      <c r="IC356"/>
      <c r="ID356"/>
      <c r="IE356"/>
      <c r="IF356"/>
      <c r="IG356"/>
      <c r="IH356"/>
      <c r="II356"/>
      <c r="IJ356"/>
      <c r="IK356"/>
      <c r="IL356"/>
      <c r="IM356"/>
      <c r="IN356"/>
      <c r="IO356"/>
      <c r="IP356"/>
      <c r="IQ356"/>
      <c r="IR356"/>
      <c r="IS356"/>
      <c r="IT356"/>
      <c r="IU356"/>
      <c r="IV356"/>
      <c r="IW356"/>
      <c r="IX356"/>
      <c r="IY356"/>
      <c r="IZ356"/>
      <c r="JA356"/>
      <c r="JB356"/>
      <c r="JC356"/>
      <c r="JD356"/>
      <c r="JE356"/>
      <c r="JF356"/>
      <c r="JG356"/>
      <c r="JH356"/>
      <c r="JI356"/>
      <c r="JJ356"/>
      <c r="JK356"/>
      <c r="JL356"/>
      <c r="JM356"/>
      <c r="JN356"/>
      <c r="JO356"/>
      <c r="JP356"/>
      <c r="JQ356"/>
      <c r="JR356"/>
      <c r="JS356"/>
      <c r="JT356"/>
      <c r="JU356"/>
      <c r="JV356"/>
      <c r="JW356"/>
      <c r="JX356"/>
      <c r="JY356"/>
      <c r="JZ356"/>
      <c r="KA356"/>
      <c r="KB356"/>
      <c r="KC356"/>
      <c r="KD356"/>
      <c r="KE356"/>
      <c r="KF356"/>
      <c r="KG356"/>
      <c r="KH356"/>
      <c r="KI356"/>
      <c r="KJ356"/>
      <c r="KK356"/>
      <c r="KL356"/>
      <c r="KM356"/>
      <c r="KN356"/>
      <c r="KO356"/>
      <c r="KP356"/>
      <c r="KQ356"/>
      <c r="KR356"/>
      <c r="KS356"/>
    </row>
    <row r="357" spans="2:305" hidden="1" x14ac:dyDescent="0.25">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c r="ER357"/>
      <c r="ES357"/>
      <c r="ET357"/>
      <c r="EU357"/>
      <c r="EV357"/>
      <c r="EW357"/>
      <c r="EX357"/>
      <c r="EY357"/>
      <c r="EZ357"/>
      <c r="FA357"/>
      <c r="FB357"/>
      <c r="FC357"/>
      <c r="FD357"/>
      <c r="FE357"/>
      <c r="FF357"/>
      <c r="FG357"/>
      <c r="FH357"/>
      <c r="FI357"/>
      <c r="FJ357"/>
      <c r="FK357"/>
      <c r="FL357"/>
      <c r="FM357"/>
      <c r="FN357"/>
      <c r="FO357"/>
      <c r="FP357"/>
      <c r="FQ357"/>
      <c r="FR357"/>
      <c r="FS357"/>
      <c r="FT357"/>
      <c r="FU357"/>
      <c r="FV357"/>
      <c r="FW357"/>
      <c r="FX357"/>
      <c r="FY357"/>
      <c r="FZ357"/>
      <c r="GA357"/>
      <c r="GB357"/>
      <c r="GC357"/>
      <c r="GD357"/>
      <c r="GE357"/>
      <c r="GF357"/>
      <c r="GG357"/>
      <c r="GH357"/>
      <c r="GI357"/>
      <c r="GJ357"/>
      <c r="GK357"/>
      <c r="GL357"/>
      <c r="GM357"/>
      <c r="GN357"/>
      <c r="GO357"/>
      <c r="GP357"/>
      <c r="GQ357"/>
      <c r="GR357"/>
      <c r="GS357"/>
      <c r="GT357"/>
      <c r="GU357"/>
      <c r="GV357"/>
      <c r="GW357"/>
      <c r="GX357"/>
      <c r="GY357"/>
      <c r="GZ357"/>
      <c r="HA357"/>
      <c r="HB357"/>
      <c r="HC357"/>
      <c r="HD357"/>
      <c r="HE357"/>
      <c r="HF357"/>
      <c r="HG357"/>
      <c r="HH357"/>
      <c r="HI357"/>
      <c r="HJ357"/>
      <c r="HK357"/>
      <c r="HL357"/>
      <c r="HM357"/>
      <c r="HN357"/>
      <c r="HO357"/>
      <c r="HP357"/>
      <c r="HQ357"/>
      <c r="HR357"/>
      <c r="HS357"/>
      <c r="HT357"/>
      <c r="HU357"/>
      <c r="HV357"/>
      <c r="HW357"/>
      <c r="HX357"/>
      <c r="HY357"/>
      <c r="HZ357"/>
      <c r="IA357"/>
      <c r="IB357"/>
      <c r="IC357"/>
      <c r="ID357"/>
      <c r="IE357"/>
      <c r="IF357"/>
      <c r="IG357"/>
      <c r="IH357"/>
      <c r="II357"/>
      <c r="IJ357"/>
      <c r="IK357"/>
      <c r="IL357"/>
      <c r="IM357"/>
      <c r="IN357"/>
      <c r="IO357"/>
      <c r="IP357"/>
      <c r="IQ357"/>
      <c r="IR357"/>
      <c r="IS357"/>
      <c r="IT357"/>
      <c r="IU357"/>
      <c r="IV357"/>
      <c r="IW357"/>
      <c r="IX357"/>
      <c r="IY357"/>
      <c r="IZ357"/>
      <c r="JA357"/>
      <c r="JB357"/>
      <c r="JC357"/>
      <c r="JD357"/>
      <c r="JE357"/>
      <c r="JF357"/>
      <c r="JG357"/>
      <c r="JH357"/>
      <c r="JI357"/>
      <c r="JJ357"/>
      <c r="JK357"/>
      <c r="JL357"/>
      <c r="JM357"/>
      <c r="JN357"/>
      <c r="JO357"/>
      <c r="JP357"/>
      <c r="JQ357"/>
      <c r="JR357"/>
      <c r="JS357"/>
      <c r="JT357"/>
      <c r="JU357"/>
      <c r="JV357"/>
      <c r="JW357"/>
      <c r="JX357"/>
      <c r="JY357"/>
      <c r="JZ357"/>
      <c r="KA357"/>
      <c r="KB357"/>
      <c r="KC357"/>
      <c r="KD357"/>
      <c r="KE357"/>
      <c r="KF357"/>
      <c r="KG357"/>
      <c r="KH357"/>
      <c r="KI357"/>
      <c r="KJ357"/>
      <c r="KK357"/>
      <c r="KL357"/>
      <c r="KM357"/>
      <c r="KN357"/>
      <c r="KO357"/>
      <c r="KP357"/>
      <c r="KQ357"/>
      <c r="KR357"/>
      <c r="KS357"/>
    </row>
    <row r="358" spans="2:305" hidden="1" x14ac:dyDescent="0.25">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c r="ER358"/>
      <c r="ES358"/>
      <c r="ET358"/>
      <c r="EU358"/>
      <c r="EV358"/>
      <c r="EW358"/>
      <c r="EX358"/>
      <c r="EY358"/>
      <c r="EZ358"/>
      <c r="FA358"/>
      <c r="FB358"/>
      <c r="FC358"/>
      <c r="FD358"/>
      <c r="FE358"/>
      <c r="FF358"/>
      <c r="FG358"/>
      <c r="FH358"/>
      <c r="FI358"/>
      <c r="FJ358"/>
      <c r="FK358"/>
      <c r="FL358"/>
      <c r="FM358"/>
      <c r="FN358"/>
      <c r="FO358"/>
      <c r="FP358"/>
      <c r="FQ358"/>
      <c r="FR358"/>
      <c r="FS358"/>
      <c r="FT358"/>
      <c r="FU358"/>
      <c r="FV358"/>
      <c r="FW358"/>
      <c r="FX358"/>
      <c r="FY358"/>
      <c r="FZ358"/>
      <c r="GA358"/>
      <c r="GB358"/>
      <c r="GC358"/>
      <c r="GD358"/>
      <c r="GE358"/>
      <c r="GF358"/>
      <c r="GG358"/>
      <c r="GH358"/>
      <c r="GI358"/>
      <c r="GJ358"/>
      <c r="GK358"/>
      <c r="GL358"/>
      <c r="GM358"/>
      <c r="GN358"/>
      <c r="GO358"/>
      <c r="GP358"/>
      <c r="GQ358"/>
      <c r="GR358"/>
      <c r="GS358"/>
      <c r="GT358"/>
      <c r="GU358"/>
      <c r="GV358"/>
      <c r="GW358"/>
      <c r="GX358"/>
      <c r="GY358"/>
      <c r="GZ358"/>
      <c r="HA358"/>
      <c r="HB358"/>
      <c r="HC358"/>
      <c r="HD358"/>
      <c r="HE358"/>
      <c r="HF358"/>
      <c r="HG358"/>
      <c r="HH358"/>
      <c r="HI358"/>
      <c r="HJ358"/>
      <c r="HK358"/>
      <c r="HL358"/>
      <c r="HM358"/>
      <c r="HN358"/>
      <c r="HO358"/>
      <c r="HP358"/>
      <c r="HQ358"/>
      <c r="HR358"/>
      <c r="HS358"/>
      <c r="HT358"/>
      <c r="HU358"/>
      <c r="HV358"/>
      <c r="HW358"/>
      <c r="HX358"/>
      <c r="HY358"/>
      <c r="HZ358"/>
      <c r="IA358"/>
      <c r="IB358"/>
      <c r="IC358"/>
      <c r="ID358"/>
      <c r="IE358"/>
      <c r="IF358"/>
      <c r="IG358"/>
      <c r="IH358"/>
      <c r="II358"/>
      <c r="IJ358"/>
      <c r="IK358"/>
      <c r="IL358"/>
      <c r="IM358"/>
      <c r="IN358"/>
      <c r="IO358"/>
      <c r="IP358"/>
      <c r="IQ358"/>
      <c r="IR358"/>
      <c r="IS358"/>
      <c r="IT358"/>
      <c r="IU358"/>
      <c r="IV358"/>
      <c r="IW358"/>
      <c r="IX358"/>
      <c r="IY358"/>
      <c r="IZ358"/>
      <c r="JA358"/>
      <c r="JB358"/>
      <c r="JC358"/>
      <c r="JD358"/>
      <c r="JE358"/>
      <c r="JF358"/>
      <c r="JG358"/>
      <c r="JH358"/>
      <c r="JI358"/>
      <c r="JJ358"/>
      <c r="JK358"/>
      <c r="JL358"/>
      <c r="JM358"/>
      <c r="JN358"/>
      <c r="JO358"/>
      <c r="JP358"/>
      <c r="JQ358"/>
      <c r="JR358"/>
      <c r="JS358"/>
      <c r="JT358"/>
      <c r="JU358"/>
      <c r="JV358"/>
      <c r="JW358"/>
      <c r="JX358"/>
      <c r="JY358"/>
      <c r="JZ358"/>
      <c r="KA358"/>
      <c r="KB358"/>
      <c r="KC358"/>
      <c r="KD358"/>
      <c r="KE358"/>
      <c r="KF358"/>
      <c r="KG358"/>
      <c r="KH358"/>
      <c r="KI358"/>
      <c r="KJ358"/>
      <c r="KK358"/>
      <c r="KL358"/>
      <c r="KM358"/>
      <c r="KN358"/>
      <c r="KO358"/>
      <c r="KP358"/>
      <c r="KQ358"/>
      <c r="KR358"/>
      <c r="KS358"/>
    </row>
    <row r="359" spans="2:305" hidden="1" x14ac:dyDescent="0.25">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c r="ER359"/>
      <c r="ES359"/>
      <c r="ET359"/>
      <c r="EU359"/>
      <c r="EV359"/>
      <c r="EW359"/>
      <c r="EX359"/>
      <c r="EY359"/>
      <c r="EZ359"/>
      <c r="FA359"/>
      <c r="FB359"/>
      <c r="FC359"/>
      <c r="FD359"/>
      <c r="FE359"/>
      <c r="FF359"/>
      <c r="FG359"/>
      <c r="FH359"/>
      <c r="FI359"/>
      <c r="FJ359"/>
      <c r="FK359"/>
      <c r="FL359"/>
      <c r="FM359"/>
      <c r="FN359"/>
      <c r="FO359"/>
      <c r="FP359"/>
      <c r="FQ359"/>
      <c r="FR359"/>
      <c r="FS359"/>
      <c r="FT359"/>
      <c r="FU359"/>
      <c r="FV359"/>
      <c r="FW359"/>
      <c r="FX359"/>
      <c r="FY359"/>
      <c r="FZ359"/>
      <c r="GA359"/>
      <c r="GB359"/>
      <c r="GC359"/>
      <c r="GD359"/>
      <c r="GE359"/>
      <c r="GF359"/>
      <c r="GG359"/>
      <c r="GH359"/>
      <c r="GI359"/>
      <c r="GJ359"/>
      <c r="GK359"/>
      <c r="GL359"/>
      <c r="GM359"/>
      <c r="GN359"/>
      <c r="GO359"/>
      <c r="GP359"/>
      <c r="GQ359"/>
      <c r="GR359"/>
      <c r="GS359"/>
      <c r="GT359"/>
      <c r="GU359"/>
      <c r="GV359"/>
      <c r="GW359"/>
      <c r="GX359"/>
      <c r="GY359"/>
      <c r="GZ359"/>
      <c r="HA359"/>
      <c r="HB359"/>
      <c r="HC359"/>
      <c r="HD359"/>
      <c r="HE359"/>
      <c r="HF359"/>
      <c r="HG359"/>
      <c r="HH359"/>
      <c r="HI359"/>
      <c r="HJ359"/>
      <c r="HK359"/>
      <c r="HL359"/>
      <c r="HM359"/>
      <c r="HN359"/>
      <c r="HO359"/>
      <c r="HP359"/>
      <c r="HQ359"/>
      <c r="HR359"/>
      <c r="HS359"/>
      <c r="HT359"/>
      <c r="HU359"/>
      <c r="HV359"/>
      <c r="HW359"/>
      <c r="HX359"/>
      <c r="HY359"/>
      <c r="HZ359"/>
      <c r="IA359"/>
      <c r="IB359"/>
      <c r="IC359"/>
      <c r="ID359"/>
      <c r="IE359"/>
      <c r="IF359"/>
      <c r="IG359"/>
      <c r="IH359"/>
      <c r="II359"/>
      <c r="IJ359"/>
      <c r="IK359"/>
      <c r="IL359"/>
      <c r="IM359"/>
      <c r="IN359"/>
      <c r="IO359"/>
      <c r="IP359"/>
      <c r="IQ359"/>
      <c r="IR359"/>
      <c r="IS359"/>
      <c r="IT359"/>
      <c r="IU359"/>
      <c r="IV359"/>
      <c r="IW359"/>
      <c r="IX359"/>
      <c r="IY359"/>
      <c r="IZ359"/>
      <c r="JA359"/>
      <c r="JB359"/>
      <c r="JC359"/>
      <c r="JD359"/>
      <c r="JE359"/>
      <c r="JF359"/>
      <c r="JG359"/>
      <c r="JH359"/>
      <c r="JI359"/>
      <c r="JJ359"/>
      <c r="JK359"/>
      <c r="JL359"/>
      <c r="JM359"/>
      <c r="JN359"/>
      <c r="JO359"/>
      <c r="JP359"/>
      <c r="JQ359"/>
      <c r="JR359"/>
      <c r="JS359"/>
      <c r="JT359"/>
      <c r="JU359"/>
      <c r="JV359"/>
      <c r="JW359"/>
      <c r="JX359"/>
      <c r="JY359"/>
      <c r="JZ359"/>
      <c r="KA359"/>
      <c r="KB359"/>
      <c r="KC359"/>
      <c r="KD359"/>
      <c r="KE359"/>
      <c r="KF359"/>
      <c r="KG359"/>
      <c r="KH359"/>
      <c r="KI359"/>
      <c r="KJ359"/>
      <c r="KK359"/>
      <c r="KL359"/>
      <c r="KM359"/>
      <c r="KN359"/>
      <c r="KO359"/>
      <c r="KP359"/>
      <c r="KQ359"/>
      <c r="KR359"/>
      <c r="KS359"/>
    </row>
    <row r="360" spans="2:305" hidden="1" x14ac:dyDescent="0.25">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c r="ER360"/>
      <c r="ES360"/>
      <c r="ET360"/>
      <c r="EU360"/>
      <c r="EV360"/>
      <c r="EW360"/>
      <c r="EX360"/>
      <c r="EY360"/>
      <c r="EZ360"/>
      <c r="FA360"/>
      <c r="FB360"/>
      <c r="FC360"/>
      <c r="FD360"/>
      <c r="FE360"/>
      <c r="FF360"/>
      <c r="FG360"/>
      <c r="FH360"/>
      <c r="FI360"/>
      <c r="FJ360"/>
      <c r="FK360"/>
      <c r="FL360"/>
      <c r="FM360"/>
      <c r="FN360"/>
      <c r="FO360"/>
      <c r="FP360"/>
      <c r="FQ360"/>
      <c r="FR360"/>
      <c r="FS360"/>
      <c r="FT360"/>
      <c r="FU360"/>
      <c r="FV360"/>
      <c r="FW360"/>
      <c r="FX360"/>
      <c r="FY360"/>
      <c r="FZ360"/>
      <c r="GA360"/>
      <c r="GB360"/>
      <c r="GC360"/>
      <c r="GD360"/>
      <c r="GE360"/>
      <c r="GF360"/>
      <c r="GG360"/>
      <c r="GH360"/>
      <c r="GI360"/>
      <c r="GJ360"/>
      <c r="GK360"/>
      <c r="GL360"/>
      <c r="GM360"/>
      <c r="GN360"/>
      <c r="GO360"/>
      <c r="GP360"/>
      <c r="GQ360"/>
      <c r="GR360"/>
      <c r="GS360"/>
      <c r="GT360"/>
      <c r="GU360"/>
      <c r="GV360"/>
      <c r="GW360"/>
      <c r="GX360"/>
      <c r="GY360"/>
      <c r="GZ360"/>
      <c r="HA360"/>
      <c r="HB360"/>
      <c r="HC360"/>
      <c r="HD360"/>
      <c r="HE360"/>
      <c r="HF360"/>
      <c r="HG360"/>
      <c r="HH360"/>
      <c r="HI360"/>
      <c r="HJ360"/>
      <c r="HK360"/>
      <c r="HL360"/>
      <c r="HM360"/>
      <c r="HN360"/>
      <c r="HO360"/>
      <c r="HP360"/>
      <c r="HQ360"/>
      <c r="HR360"/>
      <c r="HS360"/>
      <c r="HT360"/>
      <c r="HU360"/>
      <c r="HV360"/>
      <c r="HW360"/>
      <c r="HX360"/>
      <c r="HY360"/>
      <c r="HZ360"/>
      <c r="IA360"/>
      <c r="IB360"/>
      <c r="IC360"/>
      <c r="ID360"/>
      <c r="IE360"/>
      <c r="IF360"/>
      <c r="IG360"/>
      <c r="IH360"/>
      <c r="II360"/>
      <c r="IJ360"/>
      <c r="IK360"/>
      <c r="IL360"/>
      <c r="IM360"/>
      <c r="IN360"/>
      <c r="IO360"/>
      <c r="IP360"/>
      <c r="IQ360"/>
      <c r="IR360"/>
      <c r="IS360"/>
      <c r="IT360"/>
      <c r="IU360"/>
      <c r="IV360"/>
      <c r="IW360"/>
      <c r="IX360"/>
      <c r="IY360"/>
      <c r="IZ360"/>
      <c r="JA360"/>
      <c r="JB360"/>
      <c r="JC360"/>
      <c r="JD360"/>
      <c r="JE360"/>
      <c r="JF360"/>
      <c r="JG360"/>
      <c r="JH360"/>
      <c r="JI360"/>
      <c r="JJ360"/>
      <c r="JK360"/>
      <c r="JL360"/>
      <c r="JM360"/>
      <c r="JN360"/>
      <c r="JO360"/>
      <c r="JP360"/>
      <c r="JQ360"/>
      <c r="JR360"/>
      <c r="JS360"/>
      <c r="JT360"/>
      <c r="JU360"/>
      <c r="JV360"/>
      <c r="JW360"/>
      <c r="JX360"/>
      <c r="JY360"/>
      <c r="JZ360"/>
      <c r="KA360"/>
      <c r="KB360"/>
      <c r="KC360"/>
      <c r="KD360"/>
      <c r="KE360"/>
      <c r="KF360"/>
      <c r="KG360"/>
      <c r="KH360"/>
      <c r="KI360"/>
      <c r="KJ360"/>
      <c r="KK360"/>
      <c r="KL360"/>
      <c r="KM360"/>
      <c r="KN360"/>
      <c r="KO360"/>
      <c r="KP360"/>
      <c r="KQ360"/>
      <c r="KR360"/>
      <c r="KS360"/>
    </row>
    <row r="361" spans="2:305" hidden="1" x14ac:dyDescent="0.25">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c r="ER361"/>
      <c r="ES361"/>
      <c r="ET361"/>
      <c r="EU361"/>
      <c r="EV361"/>
      <c r="EW361"/>
      <c r="EX361"/>
      <c r="EY361"/>
      <c r="EZ361"/>
      <c r="FA361"/>
      <c r="FB361"/>
      <c r="FC361"/>
      <c r="FD361"/>
      <c r="FE361"/>
      <c r="FF361"/>
      <c r="FG361"/>
      <c r="FH361"/>
      <c r="FI361"/>
      <c r="FJ361"/>
      <c r="FK361"/>
      <c r="FL361"/>
      <c r="FM361"/>
      <c r="FN361"/>
      <c r="FO361"/>
      <c r="FP361"/>
      <c r="FQ361"/>
      <c r="FR361"/>
      <c r="FS361"/>
      <c r="FT361"/>
      <c r="FU361"/>
      <c r="FV361"/>
      <c r="FW361"/>
      <c r="FX361"/>
      <c r="FY361"/>
      <c r="FZ361"/>
      <c r="GA361"/>
      <c r="GB361"/>
      <c r="GC361"/>
      <c r="GD361"/>
      <c r="GE361"/>
      <c r="GF361"/>
      <c r="GG361"/>
      <c r="GH361"/>
      <c r="GI361"/>
      <c r="GJ361"/>
      <c r="GK361"/>
      <c r="GL361"/>
      <c r="GM361"/>
      <c r="GN361"/>
      <c r="GO361"/>
      <c r="GP361"/>
      <c r="GQ361"/>
      <c r="GR361"/>
      <c r="GS361"/>
      <c r="GT361"/>
      <c r="GU361"/>
      <c r="GV361"/>
      <c r="GW361"/>
      <c r="GX361"/>
      <c r="GY361"/>
      <c r="GZ361"/>
      <c r="HA361"/>
      <c r="HB361"/>
      <c r="HC361"/>
      <c r="HD361"/>
      <c r="HE361"/>
      <c r="HF361"/>
      <c r="HG361"/>
      <c r="HH361"/>
      <c r="HI361"/>
      <c r="HJ361"/>
      <c r="HK361"/>
      <c r="HL361"/>
      <c r="HM361"/>
      <c r="HN361"/>
      <c r="HO361"/>
      <c r="HP361"/>
      <c r="HQ361"/>
      <c r="HR361"/>
      <c r="HS361"/>
      <c r="HT361"/>
      <c r="HU361"/>
      <c r="HV361"/>
      <c r="HW361"/>
      <c r="HX361"/>
      <c r="HY361"/>
      <c r="HZ361"/>
      <c r="IA361"/>
      <c r="IB361"/>
      <c r="IC361"/>
      <c r="ID361"/>
      <c r="IE361"/>
      <c r="IF361"/>
      <c r="IG361"/>
      <c r="IH361"/>
      <c r="II361"/>
      <c r="IJ361"/>
      <c r="IK361"/>
      <c r="IL361"/>
      <c r="IM361"/>
      <c r="IN361"/>
      <c r="IO361"/>
      <c r="IP361"/>
      <c r="IQ361"/>
      <c r="IR361"/>
      <c r="IS361"/>
      <c r="IT361"/>
      <c r="IU361"/>
      <c r="IV361"/>
      <c r="IW361"/>
      <c r="IX361"/>
      <c r="IY361"/>
      <c r="IZ361"/>
      <c r="JA361"/>
      <c r="JB361"/>
      <c r="JC361"/>
      <c r="JD361"/>
      <c r="JE361"/>
      <c r="JF361"/>
      <c r="JG361"/>
      <c r="JH361"/>
      <c r="JI361"/>
      <c r="JJ361"/>
      <c r="JK361"/>
      <c r="JL361"/>
      <c r="JM361"/>
      <c r="JN361"/>
      <c r="JO361"/>
      <c r="JP361"/>
      <c r="JQ361"/>
      <c r="JR361"/>
      <c r="JS361"/>
      <c r="JT361"/>
      <c r="JU361"/>
      <c r="JV361"/>
      <c r="JW361"/>
      <c r="JX361"/>
      <c r="JY361"/>
      <c r="JZ361"/>
      <c r="KA361"/>
      <c r="KB361"/>
      <c r="KC361"/>
      <c r="KD361"/>
      <c r="KE361"/>
      <c r="KF361"/>
      <c r="KG361"/>
      <c r="KH361"/>
      <c r="KI361"/>
      <c r="KJ361"/>
      <c r="KK361"/>
      <c r="KL361"/>
      <c r="KM361"/>
      <c r="KN361"/>
      <c r="KO361"/>
      <c r="KP361"/>
      <c r="KQ361"/>
      <c r="KR361"/>
      <c r="KS361"/>
    </row>
    <row r="362" spans="2:305" hidden="1" x14ac:dyDescent="0.25">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c r="ER362"/>
      <c r="ES362"/>
      <c r="ET362"/>
      <c r="EU362"/>
      <c r="EV362"/>
      <c r="EW362"/>
      <c r="EX362"/>
      <c r="EY362"/>
      <c r="EZ362"/>
      <c r="FA362"/>
      <c r="FB362"/>
      <c r="FC362"/>
      <c r="FD362"/>
      <c r="FE362"/>
      <c r="FF362"/>
      <c r="FG362"/>
      <c r="FH362"/>
      <c r="FI362"/>
      <c r="FJ362"/>
      <c r="FK362"/>
      <c r="FL362"/>
      <c r="FM362"/>
      <c r="FN362"/>
      <c r="FO362"/>
      <c r="FP362"/>
      <c r="FQ362"/>
      <c r="FR362"/>
      <c r="FS362"/>
      <c r="FT362"/>
      <c r="FU362"/>
      <c r="FV362"/>
      <c r="FW362"/>
      <c r="FX362"/>
      <c r="FY362"/>
      <c r="FZ362"/>
      <c r="GA362"/>
      <c r="GB362"/>
      <c r="GC362"/>
      <c r="GD362"/>
      <c r="GE362"/>
      <c r="GF362"/>
      <c r="GG362"/>
      <c r="GH362"/>
      <c r="GI362"/>
      <c r="GJ362"/>
      <c r="GK362"/>
      <c r="GL362"/>
      <c r="GM362"/>
      <c r="GN362"/>
      <c r="GO362"/>
      <c r="GP362"/>
      <c r="GQ362"/>
      <c r="GR362"/>
      <c r="GS362"/>
      <c r="GT362"/>
      <c r="GU362"/>
      <c r="GV362"/>
      <c r="GW362"/>
      <c r="GX362"/>
      <c r="GY362"/>
      <c r="GZ362"/>
      <c r="HA362"/>
      <c r="HB362"/>
      <c r="HC362"/>
      <c r="HD362"/>
      <c r="HE362"/>
      <c r="HF362"/>
      <c r="HG362"/>
      <c r="HH362"/>
      <c r="HI362"/>
      <c r="HJ362"/>
      <c r="HK362"/>
      <c r="HL362"/>
      <c r="HM362"/>
      <c r="HN362"/>
      <c r="HO362"/>
      <c r="HP362"/>
      <c r="HQ362"/>
      <c r="HR362"/>
      <c r="HS362"/>
      <c r="HT362"/>
      <c r="HU362"/>
      <c r="HV362"/>
      <c r="HW362"/>
      <c r="HX362"/>
      <c r="HY362"/>
      <c r="HZ362"/>
      <c r="IA362"/>
      <c r="IB362"/>
      <c r="IC362"/>
      <c r="ID362"/>
      <c r="IE362"/>
      <c r="IF362"/>
      <c r="IG362"/>
      <c r="IH362"/>
      <c r="II362"/>
      <c r="IJ362"/>
      <c r="IK362"/>
      <c r="IL362"/>
      <c r="IM362"/>
      <c r="IN362"/>
      <c r="IO362"/>
      <c r="IP362"/>
      <c r="IQ362"/>
      <c r="IR362"/>
      <c r="IS362"/>
      <c r="IT362"/>
      <c r="IU362"/>
      <c r="IV362"/>
      <c r="IW362"/>
      <c r="IX362"/>
      <c r="IY362"/>
      <c r="IZ362"/>
      <c r="JA362"/>
      <c r="JB362"/>
      <c r="JC362"/>
      <c r="JD362"/>
      <c r="JE362"/>
      <c r="JF362"/>
      <c r="JG362"/>
      <c r="JH362"/>
      <c r="JI362"/>
      <c r="JJ362"/>
      <c r="JK362"/>
      <c r="JL362"/>
      <c r="JM362"/>
      <c r="JN362"/>
      <c r="JO362"/>
      <c r="JP362"/>
      <c r="JQ362"/>
      <c r="JR362"/>
      <c r="JS362"/>
      <c r="JT362"/>
      <c r="JU362"/>
      <c r="JV362"/>
      <c r="JW362"/>
      <c r="JX362"/>
      <c r="JY362"/>
      <c r="JZ362"/>
      <c r="KA362"/>
      <c r="KB362"/>
      <c r="KC362"/>
      <c r="KD362"/>
      <c r="KE362"/>
      <c r="KF362"/>
      <c r="KG362"/>
      <c r="KH362"/>
      <c r="KI362"/>
      <c r="KJ362"/>
      <c r="KK362"/>
      <c r="KL362"/>
      <c r="KM362"/>
      <c r="KN362"/>
      <c r="KO362"/>
      <c r="KP362"/>
      <c r="KQ362"/>
      <c r="KR362"/>
      <c r="KS362"/>
    </row>
    <row r="363" spans="2:305" hidden="1" x14ac:dyDescent="0.25">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c r="ER363"/>
      <c r="ES363"/>
      <c r="ET363"/>
      <c r="EU363"/>
      <c r="EV363"/>
      <c r="EW363"/>
      <c r="EX363"/>
      <c r="EY363"/>
      <c r="EZ363"/>
      <c r="FA363"/>
      <c r="FB363"/>
      <c r="FC363"/>
      <c r="FD363"/>
      <c r="FE363"/>
      <c r="FF363"/>
      <c r="FG363"/>
      <c r="FH363"/>
      <c r="FI363"/>
      <c r="FJ363"/>
      <c r="FK363"/>
      <c r="FL363"/>
      <c r="FM363"/>
      <c r="FN363"/>
      <c r="FO363"/>
      <c r="FP363"/>
      <c r="FQ363"/>
      <c r="FR363"/>
      <c r="FS363"/>
      <c r="FT363"/>
      <c r="FU363"/>
      <c r="FV363"/>
      <c r="FW363"/>
      <c r="FX363"/>
      <c r="FY363"/>
      <c r="FZ363"/>
      <c r="GA363"/>
      <c r="GB363"/>
      <c r="GC363"/>
      <c r="GD363"/>
      <c r="GE363"/>
      <c r="GF363"/>
      <c r="GG363"/>
      <c r="GH363"/>
      <c r="GI363"/>
      <c r="GJ363"/>
      <c r="GK363"/>
      <c r="GL363"/>
      <c r="GM363"/>
      <c r="GN363"/>
      <c r="GO363"/>
      <c r="GP363"/>
      <c r="GQ363"/>
      <c r="GR363"/>
      <c r="GS363"/>
      <c r="GT363"/>
      <c r="GU363"/>
      <c r="GV363"/>
      <c r="GW363"/>
      <c r="GX363"/>
      <c r="GY363"/>
      <c r="GZ363"/>
      <c r="HA363"/>
      <c r="HB363"/>
      <c r="HC363"/>
      <c r="HD363"/>
      <c r="HE363"/>
      <c r="HF363"/>
      <c r="HG363"/>
      <c r="HH363"/>
      <c r="HI363"/>
      <c r="HJ363"/>
      <c r="HK363"/>
      <c r="HL363"/>
      <c r="HM363"/>
      <c r="HN363"/>
      <c r="HO363"/>
      <c r="HP363"/>
      <c r="HQ363"/>
      <c r="HR363"/>
      <c r="HS363"/>
      <c r="HT363"/>
      <c r="HU363"/>
      <c r="HV363"/>
      <c r="HW363"/>
      <c r="HX363"/>
      <c r="HY363"/>
      <c r="HZ363"/>
      <c r="IA363"/>
      <c r="IB363"/>
      <c r="IC363"/>
      <c r="ID363"/>
      <c r="IE363"/>
      <c r="IF363"/>
      <c r="IG363"/>
      <c r="IH363"/>
      <c r="II363"/>
      <c r="IJ363"/>
      <c r="IK363"/>
      <c r="IL363"/>
      <c r="IM363"/>
      <c r="IN363"/>
      <c r="IO363"/>
      <c r="IP363"/>
      <c r="IQ363"/>
      <c r="IR363"/>
      <c r="IS363"/>
      <c r="IT363"/>
      <c r="IU363"/>
      <c r="IV363"/>
      <c r="IW363"/>
      <c r="IX363"/>
      <c r="IY363"/>
      <c r="IZ363"/>
      <c r="JA363"/>
      <c r="JB363"/>
      <c r="JC363"/>
      <c r="JD363"/>
      <c r="JE363"/>
      <c r="JF363"/>
      <c r="JG363"/>
      <c r="JH363"/>
      <c r="JI363"/>
      <c r="JJ363"/>
      <c r="JK363"/>
      <c r="JL363"/>
      <c r="JM363"/>
      <c r="JN363"/>
      <c r="JO363"/>
      <c r="JP363"/>
      <c r="JQ363"/>
      <c r="JR363"/>
      <c r="JS363"/>
      <c r="JT363"/>
      <c r="JU363"/>
      <c r="JV363"/>
      <c r="JW363"/>
      <c r="JX363"/>
      <c r="JY363"/>
      <c r="JZ363"/>
      <c r="KA363"/>
      <c r="KB363"/>
      <c r="KC363"/>
      <c r="KD363"/>
      <c r="KE363"/>
      <c r="KF363"/>
      <c r="KG363"/>
      <c r="KH363"/>
      <c r="KI363"/>
      <c r="KJ363"/>
      <c r="KK363"/>
      <c r="KL363"/>
      <c r="KM363"/>
      <c r="KN363"/>
      <c r="KO363"/>
      <c r="KP363"/>
      <c r="KQ363"/>
      <c r="KR363"/>
      <c r="KS363"/>
    </row>
    <row r="364" spans="2:305" hidden="1" x14ac:dyDescent="0.25">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c r="EO364"/>
      <c r="EP364"/>
      <c r="EQ364"/>
      <c r="ER364"/>
      <c r="ES364"/>
      <c r="ET364"/>
      <c r="EU364"/>
      <c r="EV364"/>
      <c r="EW364"/>
      <c r="EX364"/>
      <c r="EY364"/>
      <c r="EZ364"/>
      <c r="FA364"/>
      <c r="FB364"/>
      <c r="FC364"/>
      <c r="FD364"/>
      <c r="FE364"/>
      <c r="FF364"/>
      <c r="FG364"/>
      <c r="FH364"/>
      <c r="FI364"/>
      <c r="FJ364"/>
      <c r="FK364"/>
      <c r="FL364"/>
      <c r="FM364"/>
      <c r="FN364"/>
      <c r="FO364"/>
      <c r="FP364"/>
      <c r="FQ364"/>
      <c r="FR364"/>
      <c r="FS364"/>
      <c r="FT364"/>
      <c r="FU364"/>
      <c r="FV364"/>
      <c r="FW364"/>
      <c r="FX364"/>
      <c r="FY364"/>
      <c r="FZ364"/>
      <c r="GA364"/>
      <c r="GB364"/>
      <c r="GC364"/>
      <c r="GD364"/>
      <c r="GE364"/>
      <c r="GF364"/>
      <c r="GG364"/>
      <c r="GH364"/>
      <c r="GI364"/>
      <c r="GJ364"/>
      <c r="GK364"/>
      <c r="GL364"/>
      <c r="GM364"/>
      <c r="GN364"/>
      <c r="GO364"/>
      <c r="GP364"/>
      <c r="GQ364"/>
      <c r="GR364"/>
      <c r="GS364"/>
      <c r="GT364"/>
      <c r="GU364"/>
      <c r="GV364"/>
      <c r="GW364"/>
      <c r="GX364"/>
      <c r="GY364"/>
      <c r="GZ364"/>
      <c r="HA364"/>
      <c r="HB364"/>
      <c r="HC364"/>
      <c r="HD364"/>
      <c r="HE364"/>
      <c r="HF364"/>
      <c r="HG364"/>
      <c r="HH364"/>
      <c r="HI364"/>
      <c r="HJ364"/>
      <c r="HK364"/>
      <c r="HL364"/>
      <c r="HM364"/>
      <c r="HN364"/>
      <c r="HO364"/>
      <c r="HP364"/>
      <c r="HQ364"/>
      <c r="HR364"/>
      <c r="HS364"/>
      <c r="HT364"/>
      <c r="HU364"/>
      <c r="HV364"/>
      <c r="HW364"/>
      <c r="HX364"/>
      <c r="HY364"/>
      <c r="HZ364"/>
      <c r="IA364"/>
      <c r="IB364"/>
      <c r="IC364"/>
      <c r="ID364"/>
      <c r="IE364"/>
      <c r="IF364"/>
      <c r="IG364"/>
      <c r="IH364"/>
      <c r="II364"/>
      <c r="IJ364"/>
      <c r="IK364"/>
      <c r="IL364"/>
      <c r="IM364"/>
      <c r="IN364"/>
      <c r="IO364"/>
      <c r="IP364"/>
      <c r="IQ364"/>
      <c r="IR364"/>
      <c r="IS364"/>
      <c r="IT364"/>
      <c r="IU364"/>
      <c r="IV364"/>
      <c r="IW364"/>
      <c r="IX364"/>
      <c r="IY364"/>
      <c r="IZ364"/>
      <c r="JA364"/>
      <c r="JB364"/>
      <c r="JC364"/>
      <c r="JD364"/>
      <c r="JE364"/>
      <c r="JF364"/>
      <c r="JG364"/>
      <c r="JH364"/>
      <c r="JI364"/>
      <c r="JJ364"/>
      <c r="JK364"/>
      <c r="JL364"/>
      <c r="JM364"/>
      <c r="JN364"/>
      <c r="JO364"/>
      <c r="JP364"/>
      <c r="JQ364"/>
      <c r="JR364"/>
      <c r="JS364"/>
      <c r="JT364"/>
      <c r="JU364"/>
      <c r="JV364"/>
      <c r="JW364"/>
      <c r="JX364"/>
      <c r="JY364"/>
      <c r="JZ364"/>
      <c r="KA364"/>
      <c r="KB364"/>
      <c r="KC364"/>
      <c r="KD364"/>
      <c r="KE364"/>
      <c r="KF364"/>
      <c r="KG364"/>
      <c r="KH364"/>
      <c r="KI364"/>
      <c r="KJ364"/>
      <c r="KK364"/>
      <c r="KL364"/>
      <c r="KM364"/>
      <c r="KN364"/>
      <c r="KO364"/>
      <c r="KP364"/>
      <c r="KQ364"/>
      <c r="KR364"/>
      <c r="KS364"/>
    </row>
    <row r="365" spans="2:305" hidden="1" x14ac:dyDescent="0.2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c r="EO365"/>
      <c r="EP365"/>
      <c r="EQ365"/>
      <c r="ER365"/>
      <c r="ES365"/>
      <c r="ET365"/>
      <c r="EU365"/>
      <c r="EV365"/>
      <c r="EW365"/>
      <c r="EX365"/>
      <c r="EY365"/>
      <c r="EZ365"/>
      <c r="FA365"/>
      <c r="FB365"/>
      <c r="FC365"/>
      <c r="FD365"/>
      <c r="FE365"/>
      <c r="FF365"/>
      <c r="FG365"/>
      <c r="FH365"/>
      <c r="FI365"/>
      <c r="FJ365"/>
      <c r="FK365"/>
      <c r="FL365"/>
      <c r="FM365"/>
      <c r="FN365"/>
      <c r="FO365"/>
      <c r="FP365"/>
      <c r="FQ365"/>
      <c r="FR365"/>
      <c r="FS365"/>
      <c r="FT365"/>
      <c r="FU365"/>
      <c r="FV365"/>
      <c r="FW365"/>
      <c r="FX365"/>
      <c r="FY365"/>
      <c r="FZ365"/>
      <c r="GA365"/>
      <c r="GB365"/>
      <c r="GC365"/>
      <c r="GD365"/>
      <c r="GE365"/>
      <c r="GF365"/>
      <c r="GG365"/>
      <c r="GH365"/>
      <c r="GI365"/>
      <c r="GJ365"/>
      <c r="GK365"/>
      <c r="GL365"/>
      <c r="GM365"/>
      <c r="GN365"/>
      <c r="GO365"/>
      <c r="GP365"/>
      <c r="GQ365"/>
      <c r="GR365"/>
      <c r="GS365"/>
      <c r="GT365"/>
      <c r="GU365"/>
      <c r="GV365"/>
      <c r="GW365"/>
      <c r="GX365"/>
      <c r="GY365"/>
      <c r="GZ365"/>
      <c r="HA365"/>
      <c r="HB365"/>
      <c r="HC365"/>
      <c r="HD365"/>
      <c r="HE365"/>
      <c r="HF365"/>
      <c r="HG365"/>
      <c r="HH365"/>
      <c r="HI365"/>
      <c r="HJ365"/>
      <c r="HK365"/>
      <c r="HL365"/>
      <c r="HM365"/>
      <c r="HN365"/>
      <c r="HO365"/>
      <c r="HP365"/>
      <c r="HQ365"/>
      <c r="HR365"/>
      <c r="HS365"/>
      <c r="HT365"/>
      <c r="HU365"/>
      <c r="HV365"/>
      <c r="HW365"/>
      <c r="HX365"/>
      <c r="HY365"/>
      <c r="HZ365"/>
      <c r="IA365"/>
      <c r="IB365"/>
      <c r="IC365"/>
      <c r="ID365"/>
      <c r="IE365"/>
      <c r="IF365"/>
      <c r="IG365"/>
      <c r="IH365"/>
      <c r="II365"/>
      <c r="IJ365"/>
      <c r="IK365"/>
      <c r="IL365"/>
      <c r="IM365"/>
      <c r="IN365"/>
      <c r="IO365"/>
      <c r="IP365"/>
      <c r="IQ365"/>
      <c r="IR365"/>
      <c r="IS365"/>
      <c r="IT365"/>
      <c r="IU365"/>
      <c r="IV365"/>
      <c r="IW365"/>
      <c r="IX365"/>
      <c r="IY365"/>
      <c r="IZ365"/>
      <c r="JA365"/>
      <c r="JB365"/>
      <c r="JC365"/>
      <c r="JD365"/>
      <c r="JE365"/>
      <c r="JF365"/>
      <c r="JG365"/>
      <c r="JH365"/>
      <c r="JI365"/>
      <c r="JJ365"/>
      <c r="JK365"/>
      <c r="JL365"/>
      <c r="JM365"/>
      <c r="JN365"/>
      <c r="JO365"/>
      <c r="JP365"/>
      <c r="JQ365"/>
      <c r="JR365"/>
      <c r="JS365"/>
      <c r="JT365"/>
      <c r="JU365"/>
      <c r="JV365"/>
      <c r="JW365"/>
      <c r="JX365"/>
      <c r="JY365"/>
      <c r="JZ365"/>
      <c r="KA365"/>
      <c r="KB365"/>
      <c r="KC365"/>
      <c r="KD365"/>
      <c r="KE365"/>
      <c r="KF365"/>
      <c r="KG365"/>
      <c r="KH365"/>
      <c r="KI365"/>
      <c r="KJ365"/>
      <c r="KK365"/>
      <c r="KL365"/>
      <c r="KM365"/>
      <c r="KN365"/>
      <c r="KO365"/>
      <c r="KP365"/>
      <c r="KQ365"/>
      <c r="KR365"/>
      <c r="KS365"/>
    </row>
    <row r="366" spans="2:305" hidden="1" x14ac:dyDescent="0.25">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c r="ER366"/>
      <c r="ES366"/>
      <c r="ET366"/>
      <c r="EU366"/>
      <c r="EV366"/>
      <c r="EW366"/>
      <c r="EX366"/>
      <c r="EY366"/>
      <c r="EZ366"/>
      <c r="FA366"/>
      <c r="FB366"/>
      <c r="FC366"/>
      <c r="FD366"/>
      <c r="FE366"/>
      <c r="FF366"/>
      <c r="FG366"/>
      <c r="FH366"/>
      <c r="FI366"/>
      <c r="FJ366"/>
      <c r="FK366"/>
      <c r="FL366"/>
      <c r="FM366"/>
      <c r="FN366"/>
      <c r="FO366"/>
      <c r="FP366"/>
      <c r="FQ366"/>
      <c r="FR366"/>
      <c r="FS366"/>
      <c r="FT366"/>
      <c r="FU366"/>
      <c r="FV366"/>
      <c r="FW366"/>
      <c r="FX366"/>
      <c r="FY366"/>
      <c r="FZ366"/>
      <c r="GA366"/>
      <c r="GB366"/>
      <c r="GC366"/>
      <c r="GD366"/>
      <c r="GE366"/>
      <c r="GF366"/>
      <c r="GG366"/>
      <c r="GH366"/>
      <c r="GI366"/>
      <c r="GJ366"/>
      <c r="GK366"/>
      <c r="GL366"/>
      <c r="GM366"/>
      <c r="GN366"/>
      <c r="GO366"/>
      <c r="GP366"/>
      <c r="GQ366"/>
      <c r="GR366"/>
      <c r="GS366"/>
      <c r="GT366"/>
      <c r="GU366"/>
      <c r="GV366"/>
      <c r="GW366"/>
      <c r="GX366"/>
      <c r="GY366"/>
      <c r="GZ366"/>
      <c r="HA366"/>
      <c r="HB366"/>
      <c r="HC366"/>
      <c r="HD366"/>
      <c r="HE366"/>
      <c r="HF366"/>
      <c r="HG366"/>
      <c r="HH366"/>
      <c r="HI366"/>
      <c r="HJ366"/>
      <c r="HK366"/>
      <c r="HL366"/>
      <c r="HM366"/>
      <c r="HN366"/>
      <c r="HO366"/>
      <c r="HP366"/>
      <c r="HQ366"/>
      <c r="HR366"/>
      <c r="HS366"/>
      <c r="HT366"/>
      <c r="HU366"/>
      <c r="HV366"/>
      <c r="HW366"/>
      <c r="HX366"/>
      <c r="HY366"/>
      <c r="HZ366"/>
      <c r="IA366"/>
      <c r="IB366"/>
      <c r="IC366"/>
      <c r="ID366"/>
      <c r="IE366"/>
      <c r="IF366"/>
      <c r="IG366"/>
      <c r="IH366"/>
      <c r="II366"/>
      <c r="IJ366"/>
      <c r="IK366"/>
      <c r="IL366"/>
      <c r="IM366"/>
      <c r="IN366"/>
      <c r="IO366"/>
      <c r="IP366"/>
      <c r="IQ366"/>
      <c r="IR366"/>
      <c r="IS366"/>
      <c r="IT366"/>
      <c r="IU366"/>
      <c r="IV366"/>
      <c r="IW366"/>
      <c r="IX366"/>
      <c r="IY366"/>
      <c r="IZ366"/>
      <c r="JA366"/>
      <c r="JB366"/>
      <c r="JC366"/>
      <c r="JD366"/>
      <c r="JE366"/>
      <c r="JF366"/>
      <c r="JG366"/>
      <c r="JH366"/>
      <c r="JI366"/>
      <c r="JJ366"/>
      <c r="JK366"/>
      <c r="JL366"/>
      <c r="JM366"/>
      <c r="JN366"/>
      <c r="JO366"/>
      <c r="JP366"/>
      <c r="JQ366"/>
      <c r="JR366"/>
      <c r="JS366"/>
      <c r="JT366"/>
      <c r="JU366"/>
      <c r="JV366"/>
      <c r="JW366"/>
      <c r="JX366"/>
      <c r="JY366"/>
      <c r="JZ366"/>
      <c r="KA366"/>
      <c r="KB366"/>
      <c r="KC366"/>
      <c r="KD366"/>
      <c r="KE366"/>
      <c r="KF366"/>
      <c r="KG366"/>
      <c r="KH366"/>
      <c r="KI366"/>
      <c r="KJ366"/>
      <c r="KK366"/>
      <c r="KL366"/>
      <c r="KM366"/>
      <c r="KN366"/>
      <c r="KO366"/>
      <c r="KP366"/>
      <c r="KQ366"/>
      <c r="KR366"/>
      <c r="KS366"/>
    </row>
    <row r="367" spans="2:305" hidden="1" x14ac:dyDescent="0.25">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c r="EO367"/>
      <c r="EP367"/>
      <c r="EQ367"/>
      <c r="ER367"/>
      <c r="ES367"/>
      <c r="ET367"/>
      <c r="EU367"/>
      <c r="EV367"/>
      <c r="EW367"/>
      <c r="EX367"/>
      <c r="EY367"/>
      <c r="EZ367"/>
      <c r="FA367"/>
      <c r="FB367"/>
      <c r="FC367"/>
      <c r="FD367"/>
      <c r="FE367"/>
      <c r="FF367"/>
      <c r="FG367"/>
      <c r="FH367"/>
      <c r="FI367"/>
      <c r="FJ367"/>
      <c r="FK367"/>
      <c r="FL367"/>
      <c r="FM367"/>
      <c r="FN367"/>
      <c r="FO367"/>
      <c r="FP367"/>
      <c r="FQ367"/>
      <c r="FR367"/>
      <c r="FS367"/>
      <c r="FT367"/>
      <c r="FU367"/>
      <c r="FV367"/>
      <c r="FW367"/>
      <c r="FX367"/>
      <c r="FY367"/>
      <c r="FZ367"/>
      <c r="GA367"/>
      <c r="GB367"/>
      <c r="GC367"/>
      <c r="GD367"/>
      <c r="GE367"/>
      <c r="GF367"/>
      <c r="GG367"/>
      <c r="GH367"/>
      <c r="GI367"/>
      <c r="GJ367"/>
      <c r="GK367"/>
      <c r="GL367"/>
      <c r="GM367"/>
      <c r="GN367"/>
      <c r="GO367"/>
      <c r="GP367"/>
      <c r="GQ367"/>
      <c r="GR367"/>
      <c r="GS367"/>
      <c r="GT367"/>
      <c r="GU367"/>
      <c r="GV367"/>
      <c r="GW367"/>
      <c r="GX367"/>
      <c r="GY367"/>
      <c r="GZ367"/>
      <c r="HA367"/>
      <c r="HB367"/>
      <c r="HC367"/>
      <c r="HD367"/>
      <c r="HE367"/>
      <c r="HF367"/>
      <c r="HG367"/>
      <c r="HH367"/>
      <c r="HI367"/>
      <c r="HJ367"/>
      <c r="HK367"/>
      <c r="HL367"/>
      <c r="HM367"/>
      <c r="HN367"/>
      <c r="HO367"/>
      <c r="HP367"/>
      <c r="HQ367"/>
      <c r="HR367"/>
      <c r="HS367"/>
      <c r="HT367"/>
      <c r="HU367"/>
      <c r="HV367"/>
      <c r="HW367"/>
      <c r="HX367"/>
      <c r="HY367"/>
      <c r="HZ367"/>
      <c r="IA367"/>
      <c r="IB367"/>
      <c r="IC367"/>
      <c r="ID367"/>
      <c r="IE367"/>
      <c r="IF367"/>
      <c r="IG367"/>
      <c r="IH367"/>
      <c r="II367"/>
      <c r="IJ367"/>
      <c r="IK367"/>
      <c r="IL367"/>
      <c r="IM367"/>
      <c r="IN367"/>
      <c r="IO367"/>
      <c r="IP367"/>
      <c r="IQ367"/>
      <c r="IR367"/>
      <c r="IS367"/>
      <c r="IT367"/>
      <c r="IU367"/>
      <c r="IV367"/>
      <c r="IW367"/>
      <c r="IX367"/>
      <c r="IY367"/>
      <c r="IZ367"/>
      <c r="JA367"/>
      <c r="JB367"/>
      <c r="JC367"/>
      <c r="JD367"/>
      <c r="JE367"/>
      <c r="JF367"/>
      <c r="JG367"/>
      <c r="JH367"/>
      <c r="JI367"/>
      <c r="JJ367"/>
      <c r="JK367"/>
      <c r="JL367"/>
      <c r="JM367"/>
      <c r="JN367"/>
      <c r="JO367"/>
      <c r="JP367"/>
      <c r="JQ367"/>
      <c r="JR367"/>
      <c r="JS367"/>
      <c r="JT367"/>
      <c r="JU367"/>
      <c r="JV367"/>
      <c r="JW367"/>
      <c r="JX367"/>
      <c r="JY367"/>
      <c r="JZ367"/>
      <c r="KA367"/>
      <c r="KB367"/>
      <c r="KC367"/>
      <c r="KD367"/>
      <c r="KE367"/>
      <c r="KF367"/>
      <c r="KG367"/>
      <c r="KH367"/>
      <c r="KI367"/>
      <c r="KJ367"/>
      <c r="KK367"/>
      <c r="KL367"/>
      <c r="KM367"/>
      <c r="KN367"/>
      <c r="KO367"/>
      <c r="KP367"/>
      <c r="KQ367"/>
      <c r="KR367"/>
      <c r="KS367"/>
    </row>
    <row r="368" spans="2:305" hidden="1" x14ac:dyDescent="0.25">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c r="EO368"/>
      <c r="EP368"/>
      <c r="EQ368"/>
      <c r="ER368"/>
      <c r="ES368"/>
      <c r="ET368"/>
      <c r="EU368"/>
      <c r="EV368"/>
      <c r="EW368"/>
      <c r="EX368"/>
      <c r="EY368"/>
      <c r="EZ368"/>
      <c r="FA368"/>
      <c r="FB368"/>
      <c r="FC368"/>
      <c r="FD368"/>
      <c r="FE368"/>
      <c r="FF368"/>
      <c r="FG368"/>
      <c r="FH368"/>
      <c r="FI368"/>
      <c r="FJ368"/>
      <c r="FK368"/>
      <c r="FL368"/>
      <c r="FM368"/>
      <c r="FN368"/>
      <c r="FO368"/>
      <c r="FP368"/>
      <c r="FQ368"/>
      <c r="FR368"/>
      <c r="FS368"/>
      <c r="FT368"/>
      <c r="FU368"/>
      <c r="FV368"/>
      <c r="FW368"/>
      <c r="FX368"/>
      <c r="FY368"/>
      <c r="FZ368"/>
      <c r="GA368"/>
      <c r="GB368"/>
      <c r="GC368"/>
      <c r="GD368"/>
      <c r="GE368"/>
      <c r="GF368"/>
      <c r="GG368"/>
      <c r="GH368"/>
      <c r="GI368"/>
      <c r="GJ368"/>
      <c r="GK368"/>
      <c r="GL368"/>
      <c r="GM368"/>
      <c r="GN368"/>
      <c r="GO368"/>
      <c r="GP368"/>
      <c r="GQ368"/>
      <c r="GR368"/>
      <c r="GS368"/>
      <c r="GT368"/>
      <c r="GU368"/>
      <c r="GV368"/>
      <c r="GW368"/>
      <c r="GX368"/>
      <c r="GY368"/>
      <c r="GZ368"/>
      <c r="HA368"/>
      <c r="HB368"/>
      <c r="HC368"/>
      <c r="HD368"/>
      <c r="HE368"/>
      <c r="HF368"/>
      <c r="HG368"/>
      <c r="HH368"/>
      <c r="HI368"/>
      <c r="HJ368"/>
      <c r="HK368"/>
      <c r="HL368"/>
      <c r="HM368"/>
      <c r="HN368"/>
      <c r="HO368"/>
      <c r="HP368"/>
      <c r="HQ368"/>
      <c r="HR368"/>
      <c r="HS368"/>
      <c r="HT368"/>
      <c r="HU368"/>
      <c r="HV368"/>
      <c r="HW368"/>
      <c r="HX368"/>
      <c r="HY368"/>
      <c r="HZ368"/>
      <c r="IA368"/>
      <c r="IB368"/>
      <c r="IC368"/>
      <c r="ID368"/>
      <c r="IE368"/>
      <c r="IF368"/>
      <c r="IG368"/>
      <c r="IH368"/>
      <c r="II368"/>
      <c r="IJ368"/>
      <c r="IK368"/>
      <c r="IL368"/>
      <c r="IM368"/>
      <c r="IN368"/>
      <c r="IO368"/>
      <c r="IP368"/>
      <c r="IQ368"/>
      <c r="IR368"/>
      <c r="IS368"/>
      <c r="IT368"/>
      <c r="IU368"/>
      <c r="IV368"/>
      <c r="IW368"/>
      <c r="IX368"/>
      <c r="IY368"/>
      <c r="IZ368"/>
      <c r="JA368"/>
      <c r="JB368"/>
      <c r="JC368"/>
      <c r="JD368"/>
      <c r="JE368"/>
      <c r="JF368"/>
      <c r="JG368"/>
      <c r="JH368"/>
      <c r="JI368"/>
      <c r="JJ368"/>
      <c r="JK368"/>
      <c r="JL368"/>
      <c r="JM368"/>
      <c r="JN368"/>
      <c r="JO368"/>
      <c r="JP368"/>
      <c r="JQ368"/>
      <c r="JR368"/>
      <c r="JS368"/>
      <c r="JT368"/>
      <c r="JU368"/>
      <c r="JV368"/>
      <c r="JW368"/>
      <c r="JX368"/>
      <c r="JY368"/>
      <c r="JZ368"/>
      <c r="KA368"/>
      <c r="KB368"/>
      <c r="KC368"/>
      <c r="KD368"/>
      <c r="KE368"/>
      <c r="KF368"/>
      <c r="KG368"/>
      <c r="KH368"/>
      <c r="KI368"/>
      <c r="KJ368"/>
      <c r="KK368"/>
      <c r="KL368"/>
      <c r="KM368"/>
      <c r="KN368"/>
      <c r="KO368"/>
      <c r="KP368"/>
      <c r="KQ368"/>
      <c r="KR368"/>
      <c r="KS368"/>
    </row>
    <row r="369" spans="2:305" hidden="1" x14ac:dyDescent="0.25">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c r="EO369"/>
      <c r="EP369"/>
      <c r="EQ369"/>
      <c r="ER369"/>
      <c r="ES369"/>
      <c r="ET369"/>
      <c r="EU369"/>
      <c r="EV369"/>
      <c r="EW369"/>
      <c r="EX369"/>
      <c r="EY369"/>
      <c r="EZ369"/>
      <c r="FA369"/>
      <c r="FB369"/>
      <c r="FC369"/>
      <c r="FD369"/>
      <c r="FE369"/>
      <c r="FF369"/>
      <c r="FG369"/>
      <c r="FH369"/>
      <c r="FI369"/>
      <c r="FJ369"/>
      <c r="FK369"/>
      <c r="FL369"/>
      <c r="FM369"/>
      <c r="FN369"/>
      <c r="FO369"/>
      <c r="FP369"/>
      <c r="FQ369"/>
      <c r="FR369"/>
      <c r="FS369"/>
      <c r="FT369"/>
      <c r="FU369"/>
      <c r="FV369"/>
      <c r="FW369"/>
      <c r="FX369"/>
      <c r="FY369"/>
      <c r="FZ369"/>
      <c r="GA369"/>
      <c r="GB369"/>
      <c r="GC369"/>
      <c r="GD369"/>
      <c r="GE369"/>
      <c r="GF369"/>
      <c r="GG369"/>
      <c r="GH369"/>
      <c r="GI369"/>
      <c r="GJ369"/>
      <c r="GK369"/>
      <c r="GL369"/>
      <c r="GM369"/>
      <c r="GN369"/>
      <c r="GO369"/>
      <c r="GP369"/>
      <c r="GQ369"/>
      <c r="GR369"/>
      <c r="GS369"/>
      <c r="GT369"/>
      <c r="GU369"/>
      <c r="GV369"/>
      <c r="GW369"/>
      <c r="GX369"/>
      <c r="GY369"/>
      <c r="GZ369"/>
      <c r="HA369"/>
      <c r="HB369"/>
      <c r="HC369"/>
      <c r="HD369"/>
      <c r="HE369"/>
      <c r="HF369"/>
      <c r="HG369"/>
      <c r="HH369"/>
      <c r="HI369"/>
      <c r="HJ369"/>
      <c r="HK369"/>
      <c r="HL369"/>
      <c r="HM369"/>
      <c r="HN369"/>
      <c r="HO369"/>
      <c r="HP369"/>
      <c r="HQ369"/>
      <c r="HR369"/>
      <c r="HS369"/>
      <c r="HT369"/>
      <c r="HU369"/>
      <c r="HV369"/>
      <c r="HW369"/>
      <c r="HX369"/>
      <c r="HY369"/>
      <c r="HZ369"/>
      <c r="IA369"/>
      <c r="IB369"/>
      <c r="IC369"/>
      <c r="ID369"/>
      <c r="IE369"/>
      <c r="IF369"/>
      <c r="IG369"/>
      <c r="IH369"/>
      <c r="II369"/>
      <c r="IJ369"/>
      <c r="IK369"/>
      <c r="IL369"/>
      <c r="IM369"/>
      <c r="IN369"/>
      <c r="IO369"/>
      <c r="IP369"/>
      <c r="IQ369"/>
      <c r="IR369"/>
      <c r="IS369"/>
      <c r="IT369"/>
      <c r="IU369"/>
      <c r="IV369"/>
      <c r="IW369"/>
      <c r="IX369"/>
      <c r="IY369"/>
      <c r="IZ369"/>
      <c r="JA369"/>
      <c r="JB369"/>
      <c r="JC369"/>
      <c r="JD369"/>
      <c r="JE369"/>
      <c r="JF369"/>
      <c r="JG369"/>
      <c r="JH369"/>
      <c r="JI369"/>
      <c r="JJ369"/>
      <c r="JK369"/>
      <c r="JL369"/>
      <c r="JM369"/>
      <c r="JN369"/>
      <c r="JO369"/>
      <c r="JP369"/>
      <c r="JQ369"/>
      <c r="JR369"/>
      <c r="JS369"/>
      <c r="JT369"/>
      <c r="JU369"/>
      <c r="JV369"/>
      <c r="JW369"/>
      <c r="JX369"/>
      <c r="JY369"/>
      <c r="JZ369"/>
      <c r="KA369"/>
      <c r="KB369"/>
      <c r="KC369"/>
      <c r="KD369"/>
      <c r="KE369"/>
      <c r="KF369"/>
      <c r="KG369"/>
      <c r="KH369"/>
      <c r="KI369"/>
      <c r="KJ369"/>
      <c r="KK369"/>
      <c r="KL369"/>
      <c r="KM369"/>
      <c r="KN369"/>
      <c r="KO369"/>
      <c r="KP369"/>
      <c r="KQ369"/>
      <c r="KR369"/>
      <c r="KS369"/>
    </row>
    <row r="370" spans="2:305" hidden="1" x14ac:dyDescent="0.25">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c r="EO370"/>
      <c r="EP370"/>
      <c r="EQ370"/>
      <c r="ER370"/>
      <c r="ES370"/>
      <c r="ET370"/>
      <c r="EU370"/>
      <c r="EV370"/>
      <c r="EW370"/>
      <c r="EX370"/>
      <c r="EY370"/>
      <c r="EZ370"/>
      <c r="FA370"/>
      <c r="FB370"/>
      <c r="FC370"/>
      <c r="FD370"/>
      <c r="FE370"/>
      <c r="FF370"/>
      <c r="FG370"/>
      <c r="FH370"/>
      <c r="FI370"/>
      <c r="FJ370"/>
      <c r="FK370"/>
      <c r="FL370"/>
      <c r="FM370"/>
      <c r="FN370"/>
      <c r="FO370"/>
      <c r="FP370"/>
      <c r="FQ370"/>
      <c r="FR370"/>
      <c r="FS370"/>
      <c r="FT370"/>
      <c r="FU370"/>
      <c r="FV370"/>
      <c r="FW370"/>
      <c r="FX370"/>
      <c r="FY370"/>
      <c r="FZ370"/>
      <c r="GA370"/>
      <c r="GB370"/>
      <c r="GC370"/>
      <c r="GD370"/>
      <c r="GE370"/>
      <c r="GF370"/>
      <c r="GG370"/>
      <c r="GH370"/>
      <c r="GI370"/>
      <c r="GJ370"/>
      <c r="GK370"/>
      <c r="GL370"/>
      <c r="GM370"/>
      <c r="GN370"/>
      <c r="GO370"/>
      <c r="GP370"/>
      <c r="GQ370"/>
      <c r="GR370"/>
      <c r="GS370"/>
      <c r="GT370"/>
      <c r="GU370"/>
      <c r="GV370"/>
      <c r="GW370"/>
      <c r="GX370"/>
      <c r="GY370"/>
      <c r="GZ370"/>
      <c r="HA370"/>
      <c r="HB370"/>
      <c r="HC370"/>
      <c r="HD370"/>
      <c r="HE370"/>
      <c r="HF370"/>
      <c r="HG370"/>
      <c r="HH370"/>
      <c r="HI370"/>
      <c r="HJ370"/>
      <c r="HK370"/>
      <c r="HL370"/>
      <c r="HM370"/>
      <c r="HN370"/>
      <c r="HO370"/>
      <c r="HP370"/>
      <c r="HQ370"/>
      <c r="HR370"/>
      <c r="HS370"/>
      <c r="HT370"/>
      <c r="HU370"/>
      <c r="HV370"/>
      <c r="HW370"/>
      <c r="HX370"/>
      <c r="HY370"/>
      <c r="HZ370"/>
      <c r="IA370"/>
      <c r="IB370"/>
      <c r="IC370"/>
      <c r="ID370"/>
      <c r="IE370"/>
      <c r="IF370"/>
      <c r="IG370"/>
      <c r="IH370"/>
      <c r="II370"/>
      <c r="IJ370"/>
      <c r="IK370"/>
      <c r="IL370"/>
      <c r="IM370"/>
      <c r="IN370"/>
      <c r="IO370"/>
      <c r="IP370"/>
      <c r="IQ370"/>
      <c r="IR370"/>
      <c r="IS370"/>
      <c r="IT370"/>
      <c r="IU370"/>
      <c r="IV370"/>
      <c r="IW370"/>
      <c r="IX370"/>
      <c r="IY370"/>
      <c r="IZ370"/>
      <c r="JA370"/>
      <c r="JB370"/>
      <c r="JC370"/>
      <c r="JD370"/>
      <c r="JE370"/>
      <c r="JF370"/>
      <c r="JG370"/>
      <c r="JH370"/>
      <c r="JI370"/>
      <c r="JJ370"/>
      <c r="JK370"/>
      <c r="JL370"/>
      <c r="JM370"/>
      <c r="JN370"/>
      <c r="JO370"/>
      <c r="JP370"/>
      <c r="JQ370"/>
      <c r="JR370"/>
      <c r="JS370"/>
      <c r="JT370"/>
      <c r="JU370"/>
      <c r="JV370"/>
      <c r="JW370"/>
      <c r="JX370"/>
      <c r="JY370"/>
      <c r="JZ370"/>
      <c r="KA370"/>
      <c r="KB370"/>
      <c r="KC370"/>
      <c r="KD370"/>
      <c r="KE370"/>
      <c r="KF370"/>
      <c r="KG370"/>
      <c r="KH370"/>
      <c r="KI370"/>
      <c r="KJ370"/>
      <c r="KK370"/>
      <c r="KL370"/>
      <c r="KM370"/>
      <c r="KN370"/>
      <c r="KO370"/>
      <c r="KP370"/>
      <c r="KQ370"/>
      <c r="KR370"/>
      <c r="KS370"/>
    </row>
    <row r="371" spans="2:305" hidden="1" x14ac:dyDescent="0.25">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c r="EO371"/>
      <c r="EP371"/>
      <c r="EQ371"/>
      <c r="ER371"/>
      <c r="ES371"/>
      <c r="ET371"/>
      <c r="EU371"/>
      <c r="EV371"/>
      <c r="EW371"/>
      <c r="EX371"/>
      <c r="EY371"/>
      <c r="EZ371"/>
      <c r="FA371"/>
      <c r="FB371"/>
      <c r="FC371"/>
      <c r="FD371"/>
      <c r="FE371"/>
      <c r="FF371"/>
      <c r="FG371"/>
      <c r="FH371"/>
      <c r="FI371"/>
      <c r="FJ371"/>
      <c r="FK371"/>
      <c r="FL371"/>
      <c r="FM371"/>
      <c r="FN371"/>
      <c r="FO371"/>
      <c r="FP371"/>
      <c r="FQ371"/>
      <c r="FR371"/>
      <c r="FS371"/>
      <c r="FT371"/>
      <c r="FU371"/>
      <c r="FV371"/>
      <c r="FW371"/>
      <c r="FX371"/>
      <c r="FY371"/>
      <c r="FZ371"/>
      <c r="GA371"/>
      <c r="GB371"/>
      <c r="GC371"/>
      <c r="GD371"/>
      <c r="GE371"/>
      <c r="GF371"/>
      <c r="GG371"/>
      <c r="GH371"/>
      <c r="GI371"/>
      <c r="GJ371"/>
      <c r="GK371"/>
      <c r="GL371"/>
      <c r="GM371"/>
      <c r="GN371"/>
      <c r="GO371"/>
      <c r="GP371"/>
      <c r="GQ371"/>
      <c r="GR371"/>
      <c r="GS371"/>
      <c r="GT371"/>
      <c r="GU371"/>
      <c r="GV371"/>
      <c r="GW371"/>
      <c r="GX371"/>
      <c r="GY371"/>
      <c r="GZ371"/>
      <c r="HA371"/>
      <c r="HB371"/>
      <c r="HC371"/>
      <c r="HD371"/>
      <c r="HE371"/>
      <c r="HF371"/>
      <c r="HG371"/>
      <c r="HH371"/>
      <c r="HI371"/>
      <c r="HJ371"/>
      <c r="HK371"/>
      <c r="HL371"/>
      <c r="HM371"/>
      <c r="HN371"/>
      <c r="HO371"/>
      <c r="HP371"/>
      <c r="HQ371"/>
      <c r="HR371"/>
      <c r="HS371"/>
      <c r="HT371"/>
      <c r="HU371"/>
      <c r="HV371"/>
      <c r="HW371"/>
      <c r="HX371"/>
      <c r="HY371"/>
      <c r="HZ371"/>
      <c r="IA371"/>
      <c r="IB371"/>
      <c r="IC371"/>
      <c r="ID371"/>
      <c r="IE371"/>
      <c r="IF371"/>
      <c r="IG371"/>
      <c r="IH371"/>
      <c r="II371"/>
      <c r="IJ371"/>
      <c r="IK371"/>
      <c r="IL371"/>
      <c r="IM371"/>
      <c r="IN371"/>
      <c r="IO371"/>
      <c r="IP371"/>
      <c r="IQ371"/>
      <c r="IR371"/>
      <c r="IS371"/>
      <c r="IT371"/>
      <c r="IU371"/>
      <c r="IV371"/>
      <c r="IW371"/>
      <c r="IX371"/>
      <c r="IY371"/>
      <c r="IZ371"/>
      <c r="JA371"/>
      <c r="JB371"/>
      <c r="JC371"/>
      <c r="JD371"/>
      <c r="JE371"/>
      <c r="JF371"/>
      <c r="JG371"/>
      <c r="JH371"/>
      <c r="JI371"/>
      <c r="JJ371"/>
      <c r="JK371"/>
      <c r="JL371"/>
      <c r="JM371"/>
      <c r="JN371"/>
      <c r="JO371"/>
      <c r="JP371"/>
      <c r="JQ371"/>
      <c r="JR371"/>
      <c r="JS371"/>
      <c r="JT371"/>
      <c r="JU371"/>
      <c r="JV371"/>
      <c r="JW371"/>
      <c r="JX371"/>
      <c r="JY371"/>
      <c r="JZ371"/>
      <c r="KA371"/>
      <c r="KB371"/>
      <c r="KC371"/>
      <c r="KD371"/>
      <c r="KE371"/>
      <c r="KF371"/>
      <c r="KG371"/>
      <c r="KH371"/>
      <c r="KI371"/>
      <c r="KJ371"/>
      <c r="KK371"/>
      <c r="KL371"/>
      <c r="KM371"/>
      <c r="KN371"/>
      <c r="KO371"/>
      <c r="KP371"/>
      <c r="KQ371"/>
      <c r="KR371"/>
      <c r="KS371"/>
    </row>
    <row r="372" spans="2:305" hidden="1" x14ac:dyDescent="0.25">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c r="EO372"/>
      <c r="EP372"/>
      <c r="EQ372"/>
      <c r="ER372"/>
      <c r="ES372"/>
      <c r="ET372"/>
      <c r="EU372"/>
      <c r="EV372"/>
      <c r="EW372"/>
      <c r="EX372"/>
      <c r="EY372"/>
      <c r="EZ372"/>
      <c r="FA372"/>
      <c r="FB372"/>
      <c r="FC372"/>
      <c r="FD372"/>
      <c r="FE372"/>
      <c r="FF372"/>
      <c r="FG372"/>
      <c r="FH372"/>
      <c r="FI372"/>
      <c r="FJ372"/>
      <c r="FK372"/>
      <c r="FL372"/>
      <c r="FM372"/>
      <c r="FN372"/>
      <c r="FO372"/>
      <c r="FP372"/>
      <c r="FQ372"/>
      <c r="FR372"/>
      <c r="FS372"/>
      <c r="FT372"/>
      <c r="FU372"/>
      <c r="FV372"/>
      <c r="FW372"/>
      <c r="FX372"/>
      <c r="FY372"/>
      <c r="FZ372"/>
      <c r="GA372"/>
      <c r="GB372"/>
      <c r="GC372"/>
      <c r="GD372"/>
      <c r="GE372"/>
      <c r="GF372"/>
      <c r="GG372"/>
      <c r="GH372"/>
      <c r="GI372"/>
      <c r="GJ372"/>
      <c r="GK372"/>
      <c r="GL372"/>
      <c r="GM372"/>
      <c r="GN372"/>
      <c r="GO372"/>
      <c r="GP372"/>
      <c r="GQ372"/>
      <c r="GR372"/>
      <c r="GS372"/>
      <c r="GT372"/>
      <c r="GU372"/>
      <c r="GV372"/>
      <c r="GW372"/>
      <c r="GX372"/>
      <c r="GY372"/>
      <c r="GZ372"/>
      <c r="HA372"/>
      <c r="HB372"/>
      <c r="HC372"/>
      <c r="HD372"/>
      <c r="HE372"/>
      <c r="HF372"/>
      <c r="HG372"/>
      <c r="HH372"/>
      <c r="HI372"/>
      <c r="HJ372"/>
      <c r="HK372"/>
      <c r="HL372"/>
      <c r="HM372"/>
      <c r="HN372"/>
      <c r="HO372"/>
      <c r="HP372"/>
      <c r="HQ372"/>
      <c r="HR372"/>
      <c r="HS372"/>
      <c r="HT372"/>
      <c r="HU372"/>
      <c r="HV372"/>
      <c r="HW372"/>
      <c r="HX372"/>
      <c r="HY372"/>
      <c r="HZ372"/>
      <c r="IA372"/>
      <c r="IB372"/>
      <c r="IC372"/>
      <c r="ID372"/>
      <c r="IE372"/>
      <c r="IF372"/>
      <c r="IG372"/>
      <c r="IH372"/>
      <c r="II372"/>
      <c r="IJ372"/>
      <c r="IK372"/>
      <c r="IL372"/>
      <c r="IM372"/>
      <c r="IN372"/>
      <c r="IO372"/>
      <c r="IP372"/>
      <c r="IQ372"/>
      <c r="IR372"/>
      <c r="IS372"/>
      <c r="IT372"/>
      <c r="IU372"/>
      <c r="IV372"/>
      <c r="IW372"/>
      <c r="IX372"/>
      <c r="IY372"/>
      <c r="IZ372"/>
      <c r="JA372"/>
      <c r="JB372"/>
      <c r="JC372"/>
      <c r="JD372"/>
      <c r="JE372"/>
      <c r="JF372"/>
      <c r="JG372"/>
      <c r="JH372"/>
      <c r="JI372"/>
      <c r="JJ372"/>
      <c r="JK372"/>
      <c r="JL372"/>
      <c r="JM372"/>
      <c r="JN372"/>
      <c r="JO372"/>
      <c r="JP372"/>
      <c r="JQ372"/>
      <c r="JR372"/>
      <c r="JS372"/>
      <c r="JT372"/>
      <c r="JU372"/>
      <c r="JV372"/>
      <c r="JW372"/>
      <c r="JX372"/>
      <c r="JY372"/>
      <c r="JZ372"/>
      <c r="KA372"/>
      <c r="KB372"/>
      <c r="KC372"/>
      <c r="KD372"/>
      <c r="KE372"/>
      <c r="KF372"/>
      <c r="KG372"/>
      <c r="KH372"/>
      <c r="KI372"/>
      <c r="KJ372"/>
      <c r="KK372"/>
      <c r="KL372"/>
      <c r="KM372"/>
      <c r="KN372"/>
      <c r="KO372"/>
      <c r="KP372"/>
      <c r="KQ372"/>
      <c r="KR372"/>
      <c r="KS372"/>
    </row>
    <row r="373" spans="2:305" hidden="1" x14ac:dyDescent="0.25">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c r="EO373"/>
      <c r="EP373"/>
      <c r="EQ373"/>
      <c r="ER373"/>
      <c r="ES373"/>
      <c r="ET373"/>
      <c r="EU373"/>
      <c r="EV373"/>
      <c r="EW373"/>
      <c r="EX373"/>
      <c r="EY373"/>
      <c r="EZ373"/>
      <c r="FA373"/>
      <c r="FB373"/>
      <c r="FC373"/>
      <c r="FD373"/>
      <c r="FE373"/>
      <c r="FF373"/>
      <c r="FG373"/>
      <c r="FH373"/>
      <c r="FI373"/>
      <c r="FJ373"/>
      <c r="FK373"/>
      <c r="FL373"/>
      <c r="FM373"/>
      <c r="FN373"/>
      <c r="FO373"/>
      <c r="FP373"/>
      <c r="FQ373"/>
      <c r="FR373"/>
      <c r="FS373"/>
      <c r="FT373"/>
      <c r="FU373"/>
      <c r="FV373"/>
      <c r="FW373"/>
      <c r="FX373"/>
      <c r="FY373"/>
      <c r="FZ373"/>
      <c r="GA373"/>
      <c r="GB373"/>
      <c r="GC373"/>
      <c r="GD373"/>
      <c r="GE373"/>
      <c r="GF373"/>
      <c r="GG373"/>
      <c r="GH373"/>
      <c r="GI373"/>
      <c r="GJ373"/>
      <c r="GK373"/>
      <c r="GL373"/>
      <c r="GM373"/>
      <c r="GN373"/>
      <c r="GO373"/>
      <c r="GP373"/>
      <c r="GQ373"/>
      <c r="GR373"/>
      <c r="GS373"/>
      <c r="GT373"/>
      <c r="GU373"/>
      <c r="GV373"/>
      <c r="GW373"/>
      <c r="GX373"/>
      <c r="GY373"/>
      <c r="GZ373"/>
      <c r="HA373"/>
      <c r="HB373"/>
      <c r="HC373"/>
      <c r="HD373"/>
      <c r="HE373"/>
      <c r="HF373"/>
      <c r="HG373"/>
      <c r="HH373"/>
      <c r="HI373"/>
      <c r="HJ373"/>
      <c r="HK373"/>
      <c r="HL373"/>
      <c r="HM373"/>
      <c r="HN373"/>
      <c r="HO373"/>
      <c r="HP373"/>
      <c r="HQ373"/>
      <c r="HR373"/>
      <c r="HS373"/>
      <c r="HT373"/>
      <c r="HU373"/>
      <c r="HV373"/>
      <c r="HW373"/>
      <c r="HX373"/>
      <c r="HY373"/>
      <c r="HZ373"/>
      <c r="IA373"/>
      <c r="IB373"/>
      <c r="IC373"/>
      <c r="ID373"/>
      <c r="IE373"/>
      <c r="IF373"/>
      <c r="IG373"/>
      <c r="IH373"/>
      <c r="II373"/>
      <c r="IJ373"/>
      <c r="IK373"/>
      <c r="IL373"/>
      <c r="IM373"/>
      <c r="IN373"/>
      <c r="IO373"/>
      <c r="IP373"/>
      <c r="IQ373"/>
      <c r="IR373"/>
      <c r="IS373"/>
      <c r="IT373"/>
      <c r="IU373"/>
      <c r="IV373"/>
      <c r="IW373"/>
      <c r="IX373"/>
      <c r="IY373"/>
      <c r="IZ373"/>
      <c r="JA373"/>
      <c r="JB373"/>
      <c r="JC373"/>
      <c r="JD373"/>
      <c r="JE373"/>
      <c r="JF373"/>
      <c r="JG373"/>
      <c r="JH373"/>
      <c r="JI373"/>
      <c r="JJ373"/>
      <c r="JK373"/>
      <c r="JL373"/>
      <c r="JM373"/>
      <c r="JN373"/>
      <c r="JO373"/>
      <c r="JP373"/>
      <c r="JQ373"/>
      <c r="JR373"/>
      <c r="JS373"/>
      <c r="JT373"/>
      <c r="JU373"/>
      <c r="JV373"/>
      <c r="JW373"/>
      <c r="JX373"/>
      <c r="JY373"/>
      <c r="JZ373"/>
      <c r="KA373"/>
      <c r="KB373"/>
      <c r="KC373"/>
      <c r="KD373"/>
      <c r="KE373"/>
      <c r="KF373"/>
      <c r="KG373"/>
      <c r="KH373"/>
      <c r="KI373"/>
      <c r="KJ373"/>
      <c r="KK373"/>
      <c r="KL373"/>
      <c r="KM373"/>
      <c r="KN373"/>
      <c r="KO373"/>
      <c r="KP373"/>
      <c r="KQ373"/>
      <c r="KR373"/>
      <c r="KS373"/>
    </row>
    <row r="374" spans="2:305" hidden="1" x14ac:dyDescent="0.25">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c r="EO374"/>
      <c r="EP374"/>
      <c r="EQ374"/>
      <c r="ER374"/>
      <c r="ES374"/>
      <c r="ET374"/>
      <c r="EU374"/>
      <c r="EV374"/>
      <c r="EW374"/>
      <c r="EX374"/>
      <c r="EY374"/>
      <c r="EZ374"/>
      <c r="FA374"/>
      <c r="FB374"/>
      <c r="FC374"/>
      <c r="FD374"/>
      <c r="FE374"/>
      <c r="FF374"/>
      <c r="FG374"/>
      <c r="FH374"/>
      <c r="FI374"/>
      <c r="FJ374"/>
      <c r="FK374"/>
      <c r="FL374"/>
      <c r="FM374"/>
      <c r="FN374"/>
      <c r="FO374"/>
      <c r="FP374"/>
      <c r="FQ374"/>
      <c r="FR374"/>
      <c r="FS374"/>
      <c r="FT374"/>
      <c r="FU374"/>
      <c r="FV374"/>
      <c r="FW374"/>
      <c r="FX374"/>
      <c r="FY374"/>
      <c r="FZ374"/>
      <c r="GA374"/>
      <c r="GB374"/>
      <c r="GC374"/>
      <c r="GD374"/>
      <c r="GE374"/>
      <c r="GF374"/>
      <c r="GG374"/>
      <c r="GH374"/>
      <c r="GI374"/>
      <c r="GJ374"/>
      <c r="GK374"/>
      <c r="GL374"/>
      <c r="GM374"/>
      <c r="GN374"/>
      <c r="GO374"/>
      <c r="GP374"/>
      <c r="GQ374"/>
      <c r="GR374"/>
      <c r="GS374"/>
      <c r="GT374"/>
      <c r="GU374"/>
      <c r="GV374"/>
      <c r="GW374"/>
      <c r="GX374"/>
      <c r="GY374"/>
      <c r="GZ374"/>
      <c r="HA374"/>
      <c r="HB374"/>
      <c r="HC374"/>
      <c r="HD374"/>
      <c r="HE374"/>
      <c r="HF374"/>
      <c r="HG374"/>
      <c r="HH374"/>
      <c r="HI374"/>
      <c r="HJ374"/>
      <c r="HK374"/>
      <c r="HL374"/>
      <c r="HM374"/>
      <c r="HN374"/>
      <c r="HO374"/>
      <c r="HP374"/>
      <c r="HQ374"/>
      <c r="HR374"/>
      <c r="HS374"/>
      <c r="HT374"/>
      <c r="HU374"/>
      <c r="HV374"/>
      <c r="HW374"/>
      <c r="HX374"/>
      <c r="HY374"/>
      <c r="HZ374"/>
      <c r="IA374"/>
      <c r="IB374"/>
      <c r="IC374"/>
      <c r="ID374"/>
      <c r="IE374"/>
      <c r="IF374"/>
      <c r="IG374"/>
      <c r="IH374"/>
      <c r="II374"/>
      <c r="IJ374"/>
      <c r="IK374"/>
      <c r="IL374"/>
      <c r="IM374"/>
      <c r="IN374"/>
      <c r="IO374"/>
      <c r="IP374"/>
      <c r="IQ374"/>
      <c r="IR374"/>
      <c r="IS374"/>
      <c r="IT374"/>
      <c r="IU374"/>
      <c r="IV374"/>
      <c r="IW374"/>
      <c r="IX374"/>
      <c r="IY374"/>
      <c r="IZ374"/>
      <c r="JA374"/>
      <c r="JB374"/>
      <c r="JC374"/>
      <c r="JD374"/>
      <c r="JE374"/>
      <c r="JF374"/>
      <c r="JG374"/>
      <c r="JH374"/>
      <c r="JI374"/>
      <c r="JJ374"/>
      <c r="JK374"/>
      <c r="JL374"/>
      <c r="JM374"/>
      <c r="JN374"/>
      <c r="JO374"/>
      <c r="JP374"/>
      <c r="JQ374"/>
      <c r="JR374"/>
      <c r="JS374"/>
      <c r="JT374"/>
      <c r="JU374"/>
      <c r="JV374"/>
      <c r="JW374"/>
      <c r="JX374"/>
      <c r="JY374"/>
      <c r="JZ374"/>
      <c r="KA374"/>
      <c r="KB374"/>
      <c r="KC374"/>
      <c r="KD374"/>
      <c r="KE374"/>
      <c r="KF374"/>
      <c r="KG374"/>
      <c r="KH374"/>
      <c r="KI374"/>
      <c r="KJ374"/>
      <c r="KK374"/>
      <c r="KL374"/>
      <c r="KM374"/>
      <c r="KN374"/>
      <c r="KO374"/>
      <c r="KP374"/>
      <c r="KQ374"/>
      <c r="KR374"/>
      <c r="KS374"/>
    </row>
    <row r="375" spans="2:305" hidden="1" x14ac:dyDescent="0.2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c r="EO375"/>
      <c r="EP375"/>
      <c r="EQ375"/>
      <c r="ER375"/>
      <c r="ES375"/>
      <c r="ET375"/>
      <c r="EU375"/>
      <c r="EV375"/>
      <c r="EW375"/>
      <c r="EX375"/>
      <c r="EY375"/>
      <c r="EZ375"/>
      <c r="FA375"/>
      <c r="FB375"/>
      <c r="FC375"/>
      <c r="FD375"/>
      <c r="FE375"/>
      <c r="FF375"/>
      <c r="FG375"/>
      <c r="FH375"/>
      <c r="FI375"/>
      <c r="FJ375"/>
      <c r="FK375"/>
      <c r="FL375"/>
      <c r="FM375"/>
      <c r="FN375"/>
      <c r="FO375"/>
      <c r="FP375"/>
      <c r="FQ375"/>
      <c r="FR375"/>
      <c r="FS375"/>
      <c r="FT375"/>
      <c r="FU375"/>
      <c r="FV375"/>
      <c r="FW375"/>
      <c r="FX375"/>
      <c r="FY375"/>
      <c r="FZ375"/>
      <c r="GA375"/>
      <c r="GB375"/>
      <c r="GC375"/>
      <c r="GD375"/>
      <c r="GE375"/>
      <c r="GF375"/>
      <c r="GG375"/>
      <c r="GH375"/>
      <c r="GI375"/>
      <c r="GJ375"/>
      <c r="GK375"/>
      <c r="GL375"/>
      <c r="GM375"/>
      <c r="GN375"/>
      <c r="GO375"/>
      <c r="GP375"/>
      <c r="GQ375"/>
      <c r="GR375"/>
      <c r="GS375"/>
      <c r="GT375"/>
      <c r="GU375"/>
      <c r="GV375"/>
      <c r="GW375"/>
      <c r="GX375"/>
      <c r="GY375"/>
      <c r="GZ375"/>
      <c r="HA375"/>
      <c r="HB375"/>
      <c r="HC375"/>
      <c r="HD375"/>
      <c r="HE375"/>
      <c r="HF375"/>
      <c r="HG375"/>
      <c r="HH375"/>
      <c r="HI375"/>
      <c r="HJ375"/>
      <c r="HK375"/>
      <c r="HL375"/>
      <c r="HM375"/>
      <c r="HN375"/>
      <c r="HO375"/>
      <c r="HP375"/>
      <c r="HQ375"/>
      <c r="HR375"/>
      <c r="HS375"/>
      <c r="HT375"/>
      <c r="HU375"/>
      <c r="HV375"/>
      <c r="HW375"/>
      <c r="HX375"/>
      <c r="HY375"/>
      <c r="HZ375"/>
      <c r="IA375"/>
      <c r="IB375"/>
      <c r="IC375"/>
      <c r="ID375"/>
      <c r="IE375"/>
      <c r="IF375"/>
      <c r="IG375"/>
      <c r="IH375"/>
      <c r="II375"/>
      <c r="IJ375"/>
      <c r="IK375"/>
      <c r="IL375"/>
      <c r="IM375"/>
      <c r="IN375"/>
      <c r="IO375"/>
      <c r="IP375"/>
      <c r="IQ375"/>
      <c r="IR375"/>
      <c r="IS375"/>
      <c r="IT375"/>
      <c r="IU375"/>
      <c r="IV375"/>
      <c r="IW375"/>
      <c r="IX375"/>
      <c r="IY375"/>
      <c r="IZ375"/>
      <c r="JA375"/>
      <c r="JB375"/>
      <c r="JC375"/>
      <c r="JD375"/>
      <c r="JE375"/>
      <c r="JF375"/>
      <c r="JG375"/>
      <c r="JH375"/>
      <c r="JI375"/>
      <c r="JJ375"/>
      <c r="JK375"/>
      <c r="JL375"/>
      <c r="JM375"/>
      <c r="JN375"/>
      <c r="JO375"/>
      <c r="JP375"/>
      <c r="JQ375"/>
      <c r="JR375"/>
      <c r="JS375"/>
      <c r="JT375"/>
      <c r="JU375"/>
      <c r="JV375"/>
      <c r="JW375"/>
      <c r="JX375"/>
      <c r="JY375"/>
      <c r="JZ375"/>
      <c r="KA375"/>
      <c r="KB375"/>
      <c r="KC375"/>
      <c r="KD375"/>
      <c r="KE375"/>
      <c r="KF375"/>
      <c r="KG375"/>
      <c r="KH375"/>
      <c r="KI375"/>
      <c r="KJ375"/>
      <c r="KK375"/>
      <c r="KL375"/>
      <c r="KM375"/>
      <c r="KN375"/>
      <c r="KO375"/>
      <c r="KP375"/>
      <c r="KQ375"/>
      <c r="KR375"/>
      <c r="KS375"/>
    </row>
    <row r="376" spans="2:305" hidden="1" x14ac:dyDescent="0.25">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c r="EO376"/>
      <c r="EP376"/>
      <c r="EQ376"/>
      <c r="ER376"/>
      <c r="ES376"/>
      <c r="ET376"/>
      <c r="EU376"/>
      <c r="EV376"/>
      <c r="EW376"/>
      <c r="EX376"/>
      <c r="EY376"/>
      <c r="EZ376"/>
      <c r="FA376"/>
      <c r="FB376"/>
      <c r="FC376"/>
      <c r="FD376"/>
      <c r="FE376"/>
      <c r="FF376"/>
      <c r="FG376"/>
      <c r="FH376"/>
      <c r="FI376"/>
      <c r="FJ376"/>
      <c r="FK376"/>
      <c r="FL376"/>
      <c r="FM376"/>
      <c r="FN376"/>
      <c r="FO376"/>
      <c r="FP376"/>
      <c r="FQ376"/>
      <c r="FR376"/>
      <c r="FS376"/>
      <c r="FT376"/>
      <c r="FU376"/>
      <c r="FV376"/>
      <c r="FW376"/>
      <c r="FX376"/>
      <c r="FY376"/>
      <c r="FZ376"/>
      <c r="GA376"/>
      <c r="GB376"/>
      <c r="GC376"/>
      <c r="GD376"/>
      <c r="GE376"/>
      <c r="GF376"/>
      <c r="GG376"/>
      <c r="GH376"/>
      <c r="GI376"/>
      <c r="GJ376"/>
      <c r="GK376"/>
      <c r="GL376"/>
      <c r="GM376"/>
      <c r="GN376"/>
      <c r="GO376"/>
      <c r="GP376"/>
      <c r="GQ376"/>
      <c r="GR376"/>
      <c r="GS376"/>
      <c r="GT376"/>
      <c r="GU376"/>
      <c r="GV376"/>
      <c r="GW376"/>
      <c r="GX376"/>
      <c r="GY376"/>
      <c r="GZ376"/>
      <c r="HA376"/>
      <c r="HB376"/>
      <c r="HC376"/>
      <c r="HD376"/>
      <c r="HE376"/>
      <c r="HF376"/>
      <c r="HG376"/>
      <c r="HH376"/>
      <c r="HI376"/>
      <c r="HJ376"/>
      <c r="HK376"/>
      <c r="HL376"/>
      <c r="HM376"/>
      <c r="HN376"/>
      <c r="HO376"/>
      <c r="HP376"/>
      <c r="HQ376"/>
      <c r="HR376"/>
      <c r="HS376"/>
      <c r="HT376"/>
      <c r="HU376"/>
      <c r="HV376"/>
      <c r="HW376"/>
      <c r="HX376"/>
      <c r="HY376"/>
      <c r="HZ376"/>
      <c r="IA376"/>
      <c r="IB376"/>
      <c r="IC376"/>
      <c r="ID376"/>
      <c r="IE376"/>
      <c r="IF376"/>
      <c r="IG376"/>
      <c r="IH376"/>
      <c r="II376"/>
      <c r="IJ376"/>
      <c r="IK376"/>
      <c r="IL376"/>
      <c r="IM376"/>
      <c r="IN376"/>
      <c r="IO376"/>
      <c r="IP376"/>
      <c r="IQ376"/>
      <c r="IR376"/>
      <c r="IS376"/>
      <c r="IT376"/>
      <c r="IU376"/>
      <c r="IV376"/>
      <c r="IW376"/>
      <c r="IX376"/>
      <c r="IY376"/>
      <c r="IZ376"/>
      <c r="JA376"/>
      <c r="JB376"/>
      <c r="JC376"/>
      <c r="JD376"/>
      <c r="JE376"/>
      <c r="JF376"/>
      <c r="JG376"/>
      <c r="JH376"/>
      <c r="JI376"/>
      <c r="JJ376"/>
      <c r="JK376"/>
      <c r="JL376"/>
      <c r="JM376"/>
      <c r="JN376"/>
      <c r="JO376"/>
      <c r="JP376"/>
      <c r="JQ376"/>
      <c r="JR376"/>
      <c r="JS376"/>
      <c r="JT376"/>
      <c r="JU376"/>
      <c r="JV376"/>
      <c r="JW376"/>
      <c r="JX376"/>
      <c r="JY376"/>
      <c r="JZ376"/>
      <c r="KA376"/>
      <c r="KB376"/>
      <c r="KC376"/>
      <c r="KD376"/>
      <c r="KE376"/>
      <c r="KF376"/>
      <c r="KG376"/>
      <c r="KH376"/>
      <c r="KI376"/>
      <c r="KJ376"/>
      <c r="KK376"/>
      <c r="KL376"/>
      <c r="KM376"/>
      <c r="KN376"/>
      <c r="KO376"/>
      <c r="KP376"/>
      <c r="KQ376"/>
      <c r="KR376"/>
      <c r="KS376"/>
    </row>
    <row r="377" spans="2:305" hidden="1" x14ac:dyDescent="0.25">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c r="EO377"/>
      <c r="EP377"/>
      <c r="EQ377"/>
      <c r="ER377"/>
      <c r="ES377"/>
      <c r="ET377"/>
      <c r="EU377"/>
      <c r="EV377"/>
      <c r="EW377"/>
      <c r="EX377"/>
      <c r="EY377"/>
      <c r="EZ377"/>
      <c r="FA377"/>
      <c r="FB377"/>
      <c r="FC377"/>
      <c r="FD377"/>
      <c r="FE377"/>
      <c r="FF377"/>
      <c r="FG377"/>
      <c r="FH377"/>
      <c r="FI377"/>
      <c r="FJ377"/>
      <c r="FK377"/>
      <c r="FL377"/>
      <c r="FM377"/>
      <c r="FN377"/>
      <c r="FO377"/>
      <c r="FP377"/>
      <c r="FQ377"/>
      <c r="FR377"/>
      <c r="FS377"/>
      <c r="FT377"/>
      <c r="FU377"/>
      <c r="FV377"/>
      <c r="FW377"/>
      <c r="FX377"/>
      <c r="FY377"/>
      <c r="FZ377"/>
      <c r="GA377"/>
      <c r="GB377"/>
      <c r="GC377"/>
      <c r="GD377"/>
      <c r="GE377"/>
      <c r="GF377"/>
      <c r="GG377"/>
      <c r="GH377"/>
      <c r="GI377"/>
      <c r="GJ377"/>
      <c r="GK377"/>
      <c r="GL377"/>
      <c r="GM377"/>
      <c r="GN377"/>
      <c r="GO377"/>
      <c r="GP377"/>
      <c r="GQ377"/>
      <c r="GR377"/>
      <c r="GS377"/>
      <c r="GT377"/>
      <c r="GU377"/>
      <c r="GV377"/>
      <c r="GW377"/>
      <c r="GX377"/>
      <c r="GY377"/>
      <c r="GZ377"/>
      <c r="HA377"/>
      <c r="HB377"/>
      <c r="HC377"/>
      <c r="HD377"/>
      <c r="HE377"/>
      <c r="HF377"/>
      <c r="HG377"/>
      <c r="HH377"/>
      <c r="HI377"/>
      <c r="HJ377"/>
      <c r="HK377"/>
      <c r="HL377"/>
      <c r="HM377"/>
      <c r="HN377"/>
      <c r="HO377"/>
      <c r="HP377"/>
      <c r="HQ377"/>
      <c r="HR377"/>
      <c r="HS377"/>
      <c r="HT377"/>
      <c r="HU377"/>
      <c r="HV377"/>
      <c r="HW377"/>
      <c r="HX377"/>
      <c r="HY377"/>
      <c r="HZ377"/>
      <c r="IA377"/>
      <c r="IB377"/>
      <c r="IC377"/>
      <c r="ID377"/>
      <c r="IE377"/>
      <c r="IF377"/>
      <c r="IG377"/>
      <c r="IH377"/>
      <c r="II377"/>
      <c r="IJ377"/>
      <c r="IK377"/>
      <c r="IL377"/>
      <c r="IM377"/>
      <c r="IN377"/>
      <c r="IO377"/>
      <c r="IP377"/>
      <c r="IQ377"/>
      <c r="IR377"/>
      <c r="IS377"/>
      <c r="IT377"/>
      <c r="IU377"/>
      <c r="IV377"/>
      <c r="IW377"/>
      <c r="IX377"/>
      <c r="IY377"/>
      <c r="IZ377"/>
      <c r="JA377"/>
      <c r="JB377"/>
      <c r="JC377"/>
      <c r="JD377"/>
      <c r="JE377"/>
      <c r="JF377"/>
      <c r="JG377"/>
      <c r="JH377"/>
      <c r="JI377"/>
      <c r="JJ377"/>
      <c r="JK377"/>
      <c r="JL377"/>
      <c r="JM377"/>
      <c r="JN377"/>
      <c r="JO377"/>
      <c r="JP377"/>
      <c r="JQ377"/>
      <c r="JR377"/>
      <c r="JS377"/>
      <c r="JT377"/>
      <c r="JU377"/>
      <c r="JV377"/>
      <c r="JW377"/>
      <c r="JX377"/>
      <c r="JY377"/>
      <c r="JZ377"/>
      <c r="KA377"/>
      <c r="KB377"/>
      <c r="KC377"/>
      <c r="KD377"/>
      <c r="KE377"/>
      <c r="KF377"/>
      <c r="KG377"/>
      <c r="KH377"/>
      <c r="KI377"/>
      <c r="KJ377"/>
      <c r="KK377"/>
      <c r="KL377"/>
      <c r="KM377"/>
      <c r="KN377"/>
      <c r="KO377"/>
      <c r="KP377"/>
      <c r="KQ377"/>
      <c r="KR377"/>
      <c r="KS377"/>
    </row>
    <row r="378" spans="2:305" hidden="1" x14ac:dyDescent="0.25">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c r="EO378"/>
      <c r="EP378"/>
      <c r="EQ378"/>
      <c r="ER378"/>
      <c r="ES378"/>
      <c r="ET378"/>
      <c r="EU378"/>
      <c r="EV378"/>
      <c r="EW378"/>
      <c r="EX378"/>
      <c r="EY378"/>
      <c r="EZ378"/>
      <c r="FA378"/>
      <c r="FB378"/>
      <c r="FC378"/>
      <c r="FD378"/>
      <c r="FE378"/>
      <c r="FF378"/>
      <c r="FG378"/>
      <c r="FH378"/>
      <c r="FI378"/>
      <c r="FJ378"/>
      <c r="FK378"/>
      <c r="FL378"/>
      <c r="FM378"/>
      <c r="FN378"/>
      <c r="FO378"/>
      <c r="FP378"/>
      <c r="FQ378"/>
      <c r="FR378"/>
      <c r="FS378"/>
      <c r="FT378"/>
      <c r="FU378"/>
      <c r="FV378"/>
      <c r="FW378"/>
      <c r="FX378"/>
      <c r="FY378"/>
      <c r="FZ378"/>
      <c r="GA378"/>
      <c r="GB378"/>
      <c r="GC378"/>
      <c r="GD378"/>
      <c r="GE378"/>
      <c r="GF378"/>
      <c r="GG378"/>
      <c r="GH378"/>
      <c r="GI378"/>
      <c r="GJ378"/>
      <c r="GK378"/>
      <c r="GL378"/>
      <c r="GM378"/>
      <c r="GN378"/>
      <c r="GO378"/>
      <c r="GP378"/>
      <c r="GQ378"/>
      <c r="GR378"/>
      <c r="GS378"/>
      <c r="GT378"/>
      <c r="GU378"/>
      <c r="GV378"/>
      <c r="GW378"/>
      <c r="GX378"/>
      <c r="GY378"/>
      <c r="GZ378"/>
      <c r="HA378"/>
      <c r="HB378"/>
      <c r="HC378"/>
      <c r="HD378"/>
      <c r="HE378"/>
      <c r="HF378"/>
      <c r="HG378"/>
      <c r="HH378"/>
      <c r="HI378"/>
      <c r="HJ378"/>
      <c r="HK378"/>
      <c r="HL378"/>
      <c r="HM378"/>
      <c r="HN378"/>
      <c r="HO378"/>
      <c r="HP378"/>
      <c r="HQ378"/>
      <c r="HR378"/>
      <c r="HS378"/>
      <c r="HT378"/>
      <c r="HU378"/>
      <c r="HV378"/>
      <c r="HW378"/>
      <c r="HX378"/>
      <c r="HY378"/>
      <c r="HZ378"/>
      <c r="IA378"/>
      <c r="IB378"/>
      <c r="IC378"/>
      <c r="ID378"/>
      <c r="IE378"/>
      <c r="IF378"/>
      <c r="IG378"/>
      <c r="IH378"/>
      <c r="II378"/>
      <c r="IJ378"/>
      <c r="IK378"/>
      <c r="IL378"/>
      <c r="IM378"/>
      <c r="IN378"/>
      <c r="IO378"/>
      <c r="IP378"/>
      <c r="IQ378"/>
      <c r="IR378"/>
      <c r="IS378"/>
      <c r="IT378"/>
      <c r="IU378"/>
      <c r="IV378"/>
      <c r="IW378"/>
      <c r="IX378"/>
      <c r="IY378"/>
      <c r="IZ378"/>
      <c r="JA378"/>
      <c r="JB378"/>
      <c r="JC378"/>
      <c r="JD378"/>
      <c r="JE378"/>
      <c r="JF378"/>
      <c r="JG378"/>
      <c r="JH378"/>
      <c r="JI378"/>
      <c r="JJ378"/>
      <c r="JK378"/>
      <c r="JL378"/>
      <c r="JM378"/>
      <c r="JN378"/>
      <c r="JO378"/>
      <c r="JP378"/>
      <c r="JQ378"/>
      <c r="JR378"/>
      <c r="JS378"/>
      <c r="JT378"/>
      <c r="JU378"/>
      <c r="JV378"/>
      <c r="JW378"/>
      <c r="JX378"/>
      <c r="JY378"/>
      <c r="JZ378"/>
      <c r="KA378"/>
      <c r="KB378"/>
      <c r="KC378"/>
      <c r="KD378"/>
      <c r="KE378"/>
      <c r="KF378"/>
      <c r="KG378"/>
      <c r="KH378"/>
      <c r="KI378"/>
      <c r="KJ378"/>
      <c r="KK378"/>
      <c r="KL378"/>
      <c r="KM378"/>
      <c r="KN378"/>
      <c r="KO378"/>
      <c r="KP378"/>
      <c r="KQ378"/>
      <c r="KR378"/>
      <c r="KS378"/>
    </row>
    <row r="379" spans="2:305" hidden="1" x14ac:dyDescent="0.25">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c r="EO379"/>
      <c r="EP379"/>
      <c r="EQ379"/>
      <c r="ER379"/>
      <c r="ES379"/>
      <c r="ET379"/>
      <c r="EU379"/>
      <c r="EV379"/>
      <c r="EW379"/>
      <c r="EX379"/>
      <c r="EY379"/>
      <c r="EZ379"/>
      <c r="FA379"/>
      <c r="FB379"/>
      <c r="FC379"/>
      <c r="FD379"/>
      <c r="FE379"/>
      <c r="FF379"/>
      <c r="FG379"/>
      <c r="FH379"/>
      <c r="FI379"/>
      <c r="FJ379"/>
      <c r="FK379"/>
      <c r="FL379"/>
      <c r="FM379"/>
      <c r="FN379"/>
      <c r="FO379"/>
      <c r="FP379"/>
      <c r="FQ379"/>
      <c r="FR379"/>
      <c r="FS379"/>
      <c r="FT379"/>
      <c r="FU379"/>
      <c r="FV379"/>
      <c r="FW379"/>
      <c r="FX379"/>
      <c r="FY379"/>
      <c r="FZ379"/>
      <c r="GA379"/>
      <c r="GB379"/>
      <c r="GC379"/>
      <c r="GD379"/>
      <c r="GE379"/>
      <c r="GF379"/>
      <c r="GG379"/>
      <c r="GH379"/>
      <c r="GI379"/>
      <c r="GJ379"/>
      <c r="GK379"/>
      <c r="GL379"/>
      <c r="GM379"/>
      <c r="GN379"/>
      <c r="GO379"/>
      <c r="GP379"/>
      <c r="GQ379"/>
      <c r="GR379"/>
      <c r="GS379"/>
      <c r="GT379"/>
      <c r="GU379"/>
      <c r="GV379"/>
      <c r="GW379"/>
      <c r="GX379"/>
      <c r="GY379"/>
      <c r="GZ379"/>
      <c r="HA379"/>
      <c r="HB379"/>
      <c r="HC379"/>
      <c r="HD379"/>
      <c r="HE379"/>
      <c r="HF379"/>
      <c r="HG379"/>
      <c r="HH379"/>
      <c r="HI379"/>
      <c r="HJ379"/>
      <c r="HK379"/>
      <c r="HL379"/>
      <c r="HM379"/>
      <c r="HN379"/>
      <c r="HO379"/>
      <c r="HP379"/>
      <c r="HQ379"/>
      <c r="HR379"/>
      <c r="HS379"/>
      <c r="HT379"/>
      <c r="HU379"/>
      <c r="HV379"/>
      <c r="HW379"/>
      <c r="HX379"/>
      <c r="HY379"/>
      <c r="HZ379"/>
      <c r="IA379"/>
      <c r="IB379"/>
      <c r="IC379"/>
      <c r="ID379"/>
      <c r="IE379"/>
      <c r="IF379"/>
      <c r="IG379"/>
      <c r="IH379"/>
      <c r="II379"/>
      <c r="IJ379"/>
      <c r="IK379"/>
      <c r="IL379"/>
      <c r="IM379"/>
      <c r="IN379"/>
      <c r="IO379"/>
      <c r="IP379"/>
      <c r="IQ379"/>
      <c r="IR379"/>
      <c r="IS379"/>
      <c r="IT379"/>
      <c r="IU379"/>
      <c r="IV379"/>
      <c r="IW379"/>
      <c r="IX379"/>
      <c r="IY379"/>
      <c r="IZ379"/>
      <c r="JA379"/>
      <c r="JB379"/>
      <c r="JC379"/>
      <c r="JD379"/>
      <c r="JE379"/>
      <c r="JF379"/>
      <c r="JG379"/>
      <c r="JH379"/>
      <c r="JI379"/>
      <c r="JJ379"/>
      <c r="JK379"/>
      <c r="JL379"/>
      <c r="JM379"/>
      <c r="JN379"/>
      <c r="JO379"/>
      <c r="JP379"/>
      <c r="JQ379"/>
      <c r="JR379"/>
      <c r="JS379"/>
      <c r="JT379"/>
      <c r="JU379"/>
      <c r="JV379"/>
      <c r="JW379"/>
      <c r="JX379"/>
      <c r="JY379"/>
      <c r="JZ379"/>
      <c r="KA379"/>
      <c r="KB379"/>
      <c r="KC379"/>
      <c r="KD379"/>
      <c r="KE379"/>
      <c r="KF379"/>
      <c r="KG379"/>
      <c r="KH379"/>
      <c r="KI379"/>
      <c r="KJ379"/>
      <c r="KK379"/>
      <c r="KL379"/>
      <c r="KM379"/>
      <c r="KN379"/>
      <c r="KO379"/>
      <c r="KP379"/>
      <c r="KQ379"/>
      <c r="KR379"/>
      <c r="KS379"/>
    </row>
    <row r="380" spans="2:305" hidden="1" x14ac:dyDescent="0.25">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c r="EO380"/>
      <c r="EP380"/>
      <c r="EQ380"/>
      <c r="ER380"/>
      <c r="ES380"/>
      <c r="ET380"/>
      <c r="EU380"/>
      <c r="EV380"/>
      <c r="EW380"/>
      <c r="EX380"/>
      <c r="EY380"/>
      <c r="EZ380"/>
      <c r="FA380"/>
      <c r="FB380"/>
      <c r="FC380"/>
      <c r="FD380"/>
      <c r="FE380"/>
      <c r="FF380"/>
      <c r="FG380"/>
      <c r="FH380"/>
      <c r="FI380"/>
      <c r="FJ380"/>
      <c r="FK380"/>
      <c r="FL380"/>
      <c r="FM380"/>
      <c r="FN380"/>
      <c r="FO380"/>
      <c r="FP380"/>
      <c r="FQ380"/>
      <c r="FR380"/>
      <c r="FS380"/>
      <c r="FT380"/>
      <c r="FU380"/>
      <c r="FV380"/>
      <c r="FW380"/>
      <c r="FX380"/>
      <c r="FY380"/>
      <c r="FZ380"/>
      <c r="GA380"/>
      <c r="GB380"/>
      <c r="GC380"/>
      <c r="GD380"/>
      <c r="GE380"/>
      <c r="GF380"/>
      <c r="GG380"/>
      <c r="GH380"/>
      <c r="GI380"/>
      <c r="GJ380"/>
      <c r="GK380"/>
      <c r="GL380"/>
      <c r="GM380"/>
      <c r="GN380"/>
      <c r="GO380"/>
      <c r="GP380"/>
      <c r="GQ380"/>
      <c r="GR380"/>
      <c r="GS380"/>
      <c r="GT380"/>
      <c r="GU380"/>
      <c r="GV380"/>
      <c r="GW380"/>
      <c r="GX380"/>
      <c r="GY380"/>
      <c r="GZ380"/>
      <c r="HA380"/>
      <c r="HB380"/>
      <c r="HC380"/>
      <c r="HD380"/>
      <c r="HE380"/>
      <c r="HF380"/>
      <c r="HG380"/>
      <c r="HH380"/>
      <c r="HI380"/>
      <c r="HJ380"/>
      <c r="HK380"/>
      <c r="HL380"/>
      <c r="HM380"/>
      <c r="HN380"/>
      <c r="HO380"/>
      <c r="HP380"/>
      <c r="HQ380"/>
      <c r="HR380"/>
      <c r="HS380"/>
      <c r="HT380"/>
      <c r="HU380"/>
      <c r="HV380"/>
      <c r="HW380"/>
      <c r="HX380"/>
      <c r="HY380"/>
      <c r="HZ380"/>
      <c r="IA380"/>
      <c r="IB380"/>
      <c r="IC380"/>
      <c r="ID380"/>
      <c r="IE380"/>
      <c r="IF380"/>
      <c r="IG380"/>
      <c r="IH380"/>
      <c r="II380"/>
      <c r="IJ380"/>
      <c r="IK380"/>
      <c r="IL380"/>
      <c r="IM380"/>
      <c r="IN380"/>
      <c r="IO380"/>
      <c r="IP380"/>
      <c r="IQ380"/>
      <c r="IR380"/>
      <c r="IS380"/>
      <c r="IT380"/>
      <c r="IU380"/>
      <c r="IV380"/>
      <c r="IW380"/>
      <c r="IX380"/>
      <c r="IY380"/>
      <c r="IZ380"/>
      <c r="JA380"/>
      <c r="JB380"/>
      <c r="JC380"/>
      <c r="JD380"/>
      <c r="JE380"/>
      <c r="JF380"/>
      <c r="JG380"/>
      <c r="JH380"/>
      <c r="JI380"/>
      <c r="JJ380"/>
      <c r="JK380"/>
      <c r="JL380"/>
      <c r="JM380"/>
      <c r="JN380"/>
      <c r="JO380"/>
      <c r="JP380"/>
      <c r="JQ380"/>
      <c r="JR380"/>
      <c r="JS380"/>
      <c r="JT380"/>
      <c r="JU380"/>
      <c r="JV380"/>
      <c r="JW380"/>
      <c r="JX380"/>
      <c r="JY380"/>
      <c r="JZ380"/>
      <c r="KA380"/>
      <c r="KB380"/>
      <c r="KC380"/>
      <c r="KD380"/>
      <c r="KE380"/>
      <c r="KF380"/>
      <c r="KG380"/>
      <c r="KH380"/>
      <c r="KI380"/>
      <c r="KJ380"/>
      <c r="KK380"/>
      <c r="KL380"/>
      <c r="KM380"/>
      <c r="KN380"/>
      <c r="KO380"/>
      <c r="KP380"/>
      <c r="KQ380"/>
      <c r="KR380"/>
      <c r="KS380"/>
    </row>
    <row r="381" spans="2:305" hidden="1" x14ac:dyDescent="0.25">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c r="EO381"/>
      <c r="EP381"/>
      <c r="EQ381"/>
      <c r="ER381"/>
      <c r="ES381"/>
      <c r="ET381"/>
      <c r="EU381"/>
      <c r="EV381"/>
      <c r="EW381"/>
      <c r="EX381"/>
      <c r="EY381"/>
      <c r="EZ381"/>
      <c r="FA381"/>
      <c r="FB381"/>
      <c r="FC381"/>
      <c r="FD381"/>
      <c r="FE381"/>
      <c r="FF381"/>
      <c r="FG381"/>
      <c r="FH381"/>
      <c r="FI381"/>
      <c r="FJ381"/>
      <c r="FK381"/>
      <c r="FL381"/>
      <c r="FM381"/>
      <c r="FN381"/>
      <c r="FO381"/>
      <c r="FP381"/>
      <c r="FQ381"/>
      <c r="FR381"/>
      <c r="FS381"/>
      <c r="FT381"/>
      <c r="FU381"/>
      <c r="FV381"/>
      <c r="FW381"/>
      <c r="FX381"/>
      <c r="FY381"/>
      <c r="FZ381"/>
      <c r="GA381"/>
      <c r="GB381"/>
      <c r="GC381"/>
      <c r="GD381"/>
      <c r="GE381"/>
      <c r="GF381"/>
      <c r="GG381"/>
      <c r="GH381"/>
      <c r="GI381"/>
      <c r="GJ381"/>
      <c r="GK381"/>
      <c r="GL381"/>
      <c r="GM381"/>
      <c r="GN381"/>
      <c r="GO381"/>
      <c r="GP381"/>
      <c r="GQ381"/>
      <c r="GR381"/>
      <c r="GS381"/>
      <c r="GT381"/>
      <c r="GU381"/>
      <c r="GV381"/>
      <c r="GW381"/>
      <c r="GX381"/>
      <c r="GY381"/>
      <c r="GZ381"/>
      <c r="HA381"/>
      <c r="HB381"/>
      <c r="HC381"/>
      <c r="HD381"/>
      <c r="HE381"/>
      <c r="HF381"/>
      <c r="HG381"/>
      <c r="HH381"/>
      <c r="HI381"/>
      <c r="HJ381"/>
      <c r="HK381"/>
      <c r="HL381"/>
      <c r="HM381"/>
      <c r="HN381"/>
      <c r="HO381"/>
      <c r="HP381"/>
      <c r="HQ381"/>
      <c r="HR381"/>
      <c r="HS381"/>
      <c r="HT381"/>
      <c r="HU381"/>
      <c r="HV381"/>
      <c r="HW381"/>
      <c r="HX381"/>
      <c r="HY381"/>
      <c r="HZ381"/>
      <c r="IA381"/>
      <c r="IB381"/>
      <c r="IC381"/>
      <c r="ID381"/>
      <c r="IE381"/>
      <c r="IF381"/>
      <c r="IG381"/>
      <c r="IH381"/>
      <c r="II381"/>
      <c r="IJ381"/>
      <c r="IK381"/>
      <c r="IL381"/>
      <c r="IM381"/>
      <c r="IN381"/>
      <c r="IO381"/>
      <c r="IP381"/>
      <c r="IQ381"/>
      <c r="IR381"/>
      <c r="IS381"/>
      <c r="IT381"/>
      <c r="IU381"/>
      <c r="IV381"/>
      <c r="IW381"/>
      <c r="IX381"/>
      <c r="IY381"/>
      <c r="IZ381"/>
      <c r="JA381"/>
      <c r="JB381"/>
      <c r="JC381"/>
      <c r="JD381"/>
      <c r="JE381"/>
      <c r="JF381"/>
      <c r="JG381"/>
      <c r="JH381"/>
      <c r="JI381"/>
      <c r="JJ381"/>
      <c r="JK381"/>
      <c r="JL381"/>
      <c r="JM381"/>
      <c r="JN381"/>
      <c r="JO381"/>
      <c r="JP381"/>
      <c r="JQ381"/>
      <c r="JR381"/>
      <c r="JS381"/>
      <c r="JT381"/>
      <c r="JU381"/>
      <c r="JV381"/>
      <c r="JW381"/>
      <c r="JX381"/>
      <c r="JY381"/>
      <c r="JZ381"/>
      <c r="KA381"/>
      <c r="KB381"/>
      <c r="KC381"/>
      <c r="KD381"/>
      <c r="KE381"/>
      <c r="KF381"/>
      <c r="KG381"/>
      <c r="KH381"/>
      <c r="KI381"/>
      <c r="KJ381"/>
      <c r="KK381"/>
      <c r="KL381"/>
      <c r="KM381"/>
      <c r="KN381"/>
      <c r="KO381"/>
      <c r="KP381"/>
      <c r="KQ381"/>
      <c r="KR381"/>
      <c r="KS381"/>
    </row>
    <row r="382" spans="2:305" hidden="1" x14ac:dyDescent="0.25">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c r="EO382"/>
      <c r="EP382"/>
      <c r="EQ382"/>
      <c r="ER382"/>
      <c r="ES382"/>
      <c r="ET382"/>
      <c r="EU382"/>
      <c r="EV382"/>
      <c r="EW382"/>
      <c r="EX382"/>
      <c r="EY382"/>
      <c r="EZ382"/>
      <c r="FA382"/>
      <c r="FB382"/>
      <c r="FC382"/>
      <c r="FD382"/>
      <c r="FE382"/>
      <c r="FF382"/>
      <c r="FG382"/>
      <c r="FH382"/>
      <c r="FI382"/>
      <c r="FJ382"/>
      <c r="FK382"/>
      <c r="FL382"/>
      <c r="FM382"/>
      <c r="FN382"/>
      <c r="FO382"/>
      <c r="FP382"/>
      <c r="FQ382"/>
      <c r="FR382"/>
      <c r="FS382"/>
      <c r="FT382"/>
      <c r="FU382"/>
      <c r="FV382"/>
      <c r="FW382"/>
      <c r="FX382"/>
      <c r="FY382"/>
      <c r="FZ382"/>
      <c r="GA382"/>
      <c r="GB382"/>
      <c r="GC382"/>
      <c r="GD382"/>
      <c r="GE382"/>
      <c r="GF382"/>
      <c r="GG382"/>
      <c r="GH382"/>
      <c r="GI382"/>
      <c r="GJ382"/>
      <c r="GK382"/>
      <c r="GL382"/>
      <c r="GM382"/>
      <c r="GN382"/>
      <c r="GO382"/>
      <c r="GP382"/>
      <c r="GQ382"/>
      <c r="GR382"/>
      <c r="GS382"/>
      <c r="GT382"/>
      <c r="GU382"/>
      <c r="GV382"/>
      <c r="GW382"/>
      <c r="GX382"/>
      <c r="GY382"/>
      <c r="GZ382"/>
      <c r="HA382"/>
      <c r="HB382"/>
      <c r="HC382"/>
      <c r="HD382"/>
      <c r="HE382"/>
      <c r="HF382"/>
      <c r="HG382"/>
      <c r="HH382"/>
      <c r="HI382"/>
      <c r="HJ382"/>
      <c r="HK382"/>
      <c r="HL382"/>
      <c r="HM382"/>
      <c r="HN382"/>
      <c r="HO382"/>
      <c r="HP382"/>
      <c r="HQ382"/>
      <c r="HR382"/>
      <c r="HS382"/>
      <c r="HT382"/>
      <c r="HU382"/>
      <c r="HV382"/>
      <c r="HW382"/>
      <c r="HX382"/>
      <c r="HY382"/>
      <c r="HZ382"/>
      <c r="IA382"/>
      <c r="IB382"/>
      <c r="IC382"/>
      <c r="ID382"/>
      <c r="IE382"/>
      <c r="IF382"/>
      <c r="IG382"/>
      <c r="IH382"/>
      <c r="II382"/>
      <c r="IJ382"/>
      <c r="IK382"/>
      <c r="IL382"/>
      <c r="IM382"/>
      <c r="IN382"/>
      <c r="IO382"/>
      <c r="IP382"/>
      <c r="IQ382"/>
      <c r="IR382"/>
      <c r="IS382"/>
      <c r="IT382"/>
      <c r="IU382"/>
      <c r="IV382"/>
      <c r="IW382"/>
      <c r="IX382"/>
      <c r="IY382"/>
      <c r="IZ382"/>
      <c r="JA382"/>
      <c r="JB382"/>
      <c r="JC382"/>
      <c r="JD382"/>
      <c r="JE382"/>
      <c r="JF382"/>
      <c r="JG382"/>
      <c r="JH382"/>
      <c r="JI382"/>
      <c r="JJ382"/>
      <c r="JK382"/>
      <c r="JL382"/>
      <c r="JM382"/>
      <c r="JN382"/>
      <c r="JO382"/>
      <c r="JP382"/>
      <c r="JQ382"/>
      <c r="JR382"/>
      <c r="JS382"/>
      <c r="JT382"/>
      <c r="JU382"/>
      <c r="JV382"/>
      <c r="JW382"/>
      <c r="JX382"/>
      <c r="JY382"/>
      <c r="JZ382"/>
      <c r="KA382"/>
      <c r="KB382"/>
      <c r="KC382"/>
      <c r="KD382"/>
      <c r="KE382"/>
      <c r="KF382"/>
      <c r="KG382"/>
      <c r="KH382"/>
      <c r="KI382"/>
      <c r="KJ382"/>
      <c r="KK382"/>
      <c r="KL382"/>
      <c r="KM382"/>
      <c r="KN382"/>
      <c r="KO382"/>
      <c r="KP382"/>
      <c r="KQ382"/>
      <c r="KR382"/>
      <c r="KS382"/>
    </row>
    <row r="383" spans="2:305" hidden="1" x14ac:dyDescent="0.25">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c r="EO383"/>
      <c r="EP383"/>
      <c r="EQ383"/>
      <c r="ER383"/>
      <c r="ES383"/>
      <c r="ET383"/>
      <c r="EU383"/>
      <c r="EV383"/>
      <c r="EW383"/>
      <c r="EX383"/>
      <c r="EY383"/>
      <c r="EZ383"/>
      <c r="FA383"/>
      <c r="FB383"/>
      <c r="FC383"/>
      <c r="FD383"/>
      <c r="FE383"/>
      <c r="FF383"/>
      <c r="FG383"/>
      <c r="FH383"/>
      <c r="FI383"/>
      <c r="FJ383"/>
      <c r="FK383"/>
      <c r="FL383"/>
      <c r="FM383"/>
      <c r="FN383"/>
      <c r="FO383"/>
      <c r="FP383"/>
      <c r="FQ383"/>
      <c r="FR383"/>
      <c r="FS383"/>
      <c r="FT383"/>
      <c r="FU383"/>
      <c r="FV383"/>
      <c r="FW383"/>
      <c r="FX383"/>
      <c r="FY383"/>
      <c r="FZ383"/>
      <c r="GA383"/>
      <c r="GB383"/>
      <c r="GC383"/>
      <c r="GD383"/>
      <c r="GE383"/>
      <c r="GF383"/>
      <c r="GG383"/>
      <c r="GH383"/>
      <c r="GI383"/>
      <c r="GJ383"/>
      <c r="GK383"/>
      <c r="GL383"/>
      <c r="GM383"/>
      <c r="GN383"/>
      <c r="GO383"/>
      <c r="GP383"/>
      <c r="GQ383"/>
      <c r="GR383"/>
      <c r="GS383"/>
      <c r="GT383"/>
      <c r="GU383"/>
      <c r="GV383"/>
      <c r="GW383"/>
      <c r="GX383"/>
      <c r="GY383"/>
      <c r="GZ383"/>
      <c r="HA383"/>
      <c r="HB383"/>
      <c r="HC383"/>
      <c r="HD383"/>
      <c r="HE383"/>
      <c r="HF383"/>
      <c r="HG383"/>
      <c r="HH383"/>
      <c r="HI383"/>
      <c r="HJ383"/>
      <c r="HK383"/>
      <c r="HL383"/>
      <c r="HM383"/>
      <c r="HN383"/>
      <c r="HO383"/>
      <c r="HP383"/>
      <c r="HQ383"/>
      <c r="HR383"/>
      <c r="HS383"/>
      <c r="HT383"/>
      <c r="HU383"/>
      <c r="HV383"/>
      <c r="HW383"/>
      <c r="HX383"/>
      <c r="HY383"/>
      <c r="HZ383"/>
      <c r="IA383"/>
      <c r="IB383"/>
      <c r="IC383"/>
      <c r="ID383"/>
      <c r="IE383"/>
      <c r="IF383"/>
      <c r="IG383"/>
      <c r="IH383"/>
      <c r="II383"/>
      <c r="IJ383"/>
      <c r="IK383"/>
      <c r="IL383"/>
      <c r="IM383"/>
      <c r="IN383"/>
      <c r="IO383"/>
      <c r="IP383"/>
      <c r="IQ383"/>
      <c r="IR383"/>
      <c r="IS383"/>
      <c r="IT383"/>
      <c r="IU383"/>
      <c r="IV383"/>
      <c r="IW383"/>
      <c r="IX383"/>
      <c r="IY383"/>
      <c r="IZ383"/>
      <c r="JA383"/>
      <c r="JB383"/>
      <c r="JC383"/>
      <c r="JD383"/>
      <c r="JE383"/>
      <c r="JF383"/>
      <c r="JG383"/>
      <c r="JH383"/>
      <c r="JI383"/>
      <c r="JJ383"/>
      <c r="JK383"/>
      <c r="JL383"/>
      <c r="JM383"/>
      <c r="JN383"/>
      <c r="JO383"/>
      <c r="JP383"/>
      <c r="JQ383"/>
      <c r="JR383"/>
      <c r="JS383"/>
      <c r="JT383"/>
      <c r="JU383"/>
      <c r="JV383"/>
      <c r="JW383"/>
      <c r="JX383"/>
      <c r="JY383"/>
      <c r="JZ383"/>
      <c r="KA383"/>
      <c r="KB383"/>
      <c r="KC383"/>
      <c r="KD383"/>
      <c r="KE383"/>
      <c r="KF383"/>
      <c r="KG383"/>
      <c r="KH383"/>
      <c r="KI383"/>
      <c r="KJ383"/>
      <c r="KK383"/>
      <c r="KL383"/>
      <c r="KM383"/>
      <c r="KN383"/>
      <c r="KO383"/>
      <c r="KP383"/>
      <c r="KQ383"/>
      <c r="KR383"/>
      <c r="KS383"/>
    </row>
    <row r="384" spans="2:305" hidden="1" x14ac:dyDescent="0.25">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c r="EO384"/>
      <c r="EP384"/>
      <c r="EQ384"/>
      <c r="ER384"/>
      <c r="ES384"/>
      <c r="ET384"/>
      <c r="EU384"/>
      <c r="EV384"/>
      <c r="EW384"/>
      <c r="EX384"/>
      <c r="EY384"/>
      <c r="EZ384"/>
      <c r="FA384"/>
      <c r="FB384"/>
      <c r="FC384"/>
      <c r="FD384"/>
      <c r="FE384"/>
      <c r="FF384"/>
      <c r="FG384"/>
      <c r="FH384"/>
      <c r="FI384"/>
      <c r="FJ384"/>
      <c r="FK384"/>
      <c r="FL384"/>
      <c r="FM384"/>
      <c r="FN384"/>
      <c r="FO384"/>
      <c r="FP384"/>
      <c r="FQ384"/>
      <c r="FR384"/>
      <c r="FS384"/>
      <c r="FT384"/>
      <c r="FU384"/>
      <c r="FV384"/>
      <c r="FW384"/>
      <c r="FX384"/>
      <c r="FY384"/>
      <c r="FZ384"/>
      <c r="GA384"/>
      <c r="GB384"/>
      <c r="GC384"/>
      <c r="GD384"/>
      <c r="GE384"/>
      <c r="GF384"/>
      <c r="GG384"/>
      <c r="GH384"/>
      <c r="GI384"/>
      <c r="GJ384"/>
      <c r="GK384"/>
      <c r="GL384"/>
      <c r="GM384"/>
      <c r="GN384"/>
      <c r="GO384"/>
      <c r="GP384"/>
      <c r="GQ384"/>
      <c r="GR384"/>
      <c r="GS384"/>
      <c r="GT384"/>
      <c r="GU384"/>
      <c r="GV384"/>
      <c r="GW384"/>
      <c r="GX384"/>
      <c r="GY384"/>
      <c r="GZ384"/>
      <c r="HA384"/>
      <c r="HB384"/>
      <c r="HC384"/>
      <c r="HD384"/>
      <c r="HE384"/>
      <c r="HF384"/>
      <c r="HG384"/>
      <c r="HH384"/>
      <c r="HI384"/>
      <c r="HJ384"/>
      <c r="HK384"/>
      <c r="HL384"/>
      <c r="HM384"/>
      <c r="HN384"/>
      <c r="HO384"/>
      <c r="HP384"/>
      <c r="HQ384"/>
      <c r="HR384"/>
      <c r="HS384"/>
      <c r="HT384"/>
      <c r="HU384"/>
      <c r="HV384"/>
      <c r="HW384"/>
      <c r="HX384"/>
      <c r="HY384"/>
      <c r="HZ384"/>
      <c r="IA384"/>
      <c r="IB384"/>
      <c r="IC384"/>
      <c r="ID384"/>
      <c r="IE384"/>
      <c r="IF384"/>
      <c r="IG384"/>
      <c r="IH384"/>
      <c r="II384"/>
      <c r="IJ384"/>
      <c r="IK384"/>
      <c r="IL384"/>
      <c r="IM384"/>
      <c r="IN384"/>
      <c r="IO384"/>
      <c r="IP384"/>
      <c r="IQ384"/>
      <c r="IR384"/>
      <c r="IS384"/>
      <c r="IT384"/>
      <c r="IU384"/>
      <c r="IV384"/>
      <c r="IW384"/>
      <c r="IX384"/>
      <c r="IY384"/>
      <c r="IZ384"/>
      <c r="JA384"/>
      <c r="JB384"/>
      <c r="JC384"/>
      <c r="JD384"/>
      <c r="JE384"/>
      <c r="JF384"/>
      <c r="JG384"/>
      <c r="JH384"/>
      <c r="JI384"/>
      <c r="JJ384"/>
      <c r="JK384"/>
      <c r="JL384"/>
      <c r="JM384"/>
      <c r="JN384"/>
      <c r="JO384"/>
      <c r="JP384"/>
      <c r="JQ384"/>
      <c r="JR384"/>
      <c r="JS384"/>
      <c r="JT384"/>
      <c r="JU384"/>
      <c r="JV384"/>
      <c r="JW384"/>
      <c r="JX384"/>
      <c r="JY384"/>
      <c r="JZ384"/>
      <c r="KA384"/>
      <c r="KB384"/>
      <c r="KC384"/>
      <c r="KD384"/>
      <c r="KE384"/>
      <c r="KF384"/>
      <c r="KG384"/>
      <c r="KH384"/>
      <c r="KI384"/>
      <c r="KJ384"/>
      <c r="KK384"/>
      <c r="KL384"/>
      <c r="KM384"/>
      <c r="KN384"/>
      <c r="KO384"/>
      <c r="KP384"/>
      <c r="KQ384"/>
      <c r="KR384"/>
      <c r="KS384"/>
    </row>
    <row r="385" spans="2:305" hidden="1" x14ac:dyDescent="0.2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c r="EO385"/>
      <c r="EP385"/>
      <c r="EQ385"/>
      <c r="ER385"/>
      <c r="ES385"/>
      <c r="ET385"/>
      <c r="EU385"/>
      <c r="EV385"/>
      <c r="EW385"/>
      <c r="EX385"/>
      <c r="EY385"/>
      <c r="EZ385"/>
      <c r="FA385"/>
      <c r="FB385"/>
      <c r="FC385"/>
      <c r="FD385"/>
      <c r="FE385"/>
      <c r="FF385"/>
      <c r="FG385"/>
      <c r="FH385"/>
      <c r="FI385"/>
      <c r="FJ385"/>
      <c r="FK385"/>
      <c r="FL385"/>
      <c r="FM385"/>
      <c r="FN385"/>
      <c r="FO385"/>
      <c r="FP385"/>
      <c r="FQ385"/>
      <c r="FR385"/>
      <c r="FS385"/>
      <c r="FT385"/>
      <c r="FU385"/>
      <c r="FV385"/>
      <c r="FW385"/>
      <c r="FX385"/>
      <c r="FY385"/>
      <c r="FZ385"/>
      <c r="GA385"/>
      <c r="GB385"/>
      <c r="GC385"/>
      <c r="GD385"/>
      <c r="GE385"/>
      <c r="GF385"/>
      <c r="GG385"/>
      <c r="GH385"/>
      <c r="GI385"/>
      <c r="GJ385"/>
      <c r="GK385"/>
      <c r="GL385"/>
      <c r="GM385"/>
      <c r="GN385"/>
      <c r="GO385"/>
      <c r="GP385"/>
      <c r="GQ385"/>
      <c r="GR385"/>
      <c r="GS385"/>
      <c r="GT385"/>
      <c r="GU385"/>
      <c r="GV385"/>
      <c r="GW385"/>
      <c r="GX385"/>
      <c r="GY385"/>
      <c r="GZ385"/>
      <c r="HA385"/>
      <c r="HB385"/>
      <c r="HC385"/>
      <c r="HD385"/>
      <c r="HE385"/>
      <c r="HF385"/>
      <c r="HG385"/>
      <c r="HH385"/>
      <c r="HI385"/>
      <c r="HJ385"/>
      <c r="HK385"/>
      <c r="HL385"/>
      <c r="HM385"/>
      <c r="HN385"/>
      <c r="HO385"/>
      <c r="HP385"/>
      <c r="HQ385"/>
      <c r="HR385"/>
      <c r="HS385"/>
      <c r="HT385"/>
      <c r="HU385"/>
      <c r="HV385"/>
      <c r="HW385"/>
      <c r="HX385"/>
      <c r="HY385"/>
      <c r="HZ385"/>
      <c r="IA385"/>
      <c r="IB385"/>
      <c r="IC385"/>
      <c r="ID385"/>
      <c r="IE385"/>
      <c r="IF385"/>
      <c r="IG385"/>
      <c r="IH385"/>
      <c r="II385"/>
      <c r="IJ385"/>
      <c r="IK385"/>
      <c r="IL385"/>
      <c r="IM385"/>
      <c r="IN385"/>
      <c r="IO385"/>
      <c r="IP385"/>
      <c r="IQ385"/>
      <c r="IR385"/>
      <c r="IS385"/>
      <c r="IT385"/>
      <c r="IU385"/>
      <c r="IV385"/>
      <c r="IW385"/>
      <c r="IX385"/>
      <c r="IY385"/>
      <c r="IZ385"/>
      <c r="JA385"/>
      <c r="JB385"/>
      <c r="JC385"/>
      <c r="JD385"/>
      <c r="JE385"/>
      <c r="JF385"/>
      <c r="JG385"/>
      <c r="JH385"/>
      <c r="JI385"/>
      <c r="JJ385"/>
      <c r="JK385"/>
      <c r="JL385"/>
      <c r="JM385"/>
      <c r="JN385"/>
      <c r="JO385"/>
      <c r="JP385"/>
      <c r="JQ385"/>
      <c r="JR385"/>
      <c r="JS385"/>
      <c r="JT385"/>
      <c r="JU385"/>
      <c r="JV385"/>
      <c r="JW385"/>
      <c r="JX385"/>
      <c r="JY385"/>
      <c r="JZ385"/>
      <c r="KA385"/>
      <c r="KB385"/>
      <c r="KC385"/>
      <c r="KD385"/>
      <c r="KE385"/>
      <c r="KF385"/>
      <c r="KG385"/>
      <c r="KH385"/>
      <c r="KI385"/>
      <c r="KJ385"/>
      <c r="KK385"/>
      <c r="KL385"/>
      <c r="KM385"/>
      <c r="KN385"/>
      <c r="KO385"/>
      <c r="KP385"/>
      <c r="KQ385"/>
      <c r="KR385"/>
      <c r="KS385"/>
    </row>
    <row r="386" spans="2:305" hidden="1" x14ac:dyDescent="0.25">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c r="EO386"/>
      <c r="EP386"/>
      <c r="EQ386"/>
      <c r="ER386"/>
      <c r="ES386"/>
      <c r="ET386"/>
      <c r="EU386"/>
      <c r="EV386"/>
      <c r="EW386"/>
      <c r="EX386"/>
      <c r="EY386"/>
      <c r="EZ386"/>
      <c r="FA386"/>
      <c r="FB386"/>
      <c r="FC386"/>
      <c r="FD386"/>
      <c r="FE386"/>
      <c r="FF386"/>
      <c r="FG386"/>
      <c r="FH386"/>
      <c r="FI386"/>
      <c r="FJ386"/>
      <c r="FK386"/>
      <c r="FL386"/>
      <c r="FM386"/>
      <c r="FN386"/>
      <c r="FO386"/>
      <c r="FP386"/>
      <c r="FQ386"/>
      <c r="FR386"/>
      <c r="FS386"/>
      <c r="FT386"/>
      <c r="FU386"/>
      <c r="FV386"/>
      <c r="FW386"/>
      <c r="FX386"/>
      <c r="FY386"/>
      <c r="FZ386"/>
      <c r="GA386"/>
      <c r="GB386"/>
      <c r="GC386"/>
      <c r="GD386"/>
      <c r="GE386"/>
      <c r="GF386"/>
      <c r="GG386"/>
      <c r="GH386"/>
      <c r="GI386"/>
      <c r="GJ386"/>
      <c r="GK386"/>
      <c r="GL386"/>
      <c r="GM386"/>
      <c r="GN386"/>
      <c r="GO386"/>
      <c r="GP386"/>
      <c r="GQ386"/>
      <c r="GR386"/>
      <c r="GS386"/>
      <c r="GT386"/>
      <c r="GU386"/>
      <c r="GV386"/>
      <c r="GW386"/>
      <c r="GX386"/>
      <c r="GY386"/>
      <c r="GZ386"/>
      <c r="HA386"/>
      <c r="HB386"/>
      <c r="HC386"/>
      <c r="HD386"/>
      <c r="HE386"/>
      <c r="HF386"/>
      <c r="HG386"/>
      <c r="HH386"/>
      <c r="HI386"/>
      <c r="HJ386"/>
      <c r="HK386"/>
      <c r="HL386"/>
      <c r="HM386"/>
      <c r="HN386"/>
      <c r="HO386"/>
      <c r="HP386"/>
      <c r="HQ386"/>
      <c r="HR386"/>
      <c r="HS386"/>
      <c r="HT386"/>
      <c r="HU386"/>
      <c r="HV386"/>
      <c r="HW386"/>
      <c r="HX386"/>
      <c r="HY386"/>
      <c r="HZ386"/>
      <c r="IA386"/>
      <c r="IB386"/>
      <c r="IC386"/>
      <c r="ID386"/>
      <c r="IE386"/>
      <c r="IF386"/>
      <c r="IG386"/>
      <c r="IH386"/>
      <c r="II386"/>
      <c r="IJ386"/>
      <c r="IK386"/>
      <c r="IL386"/>
      <c r="IM386"/>
      <c r="IN386"/>
      <c r="IO386"/>
      <c r="IP386"/>
      <c r="IQ386"/>
      <c r="IR386"/>
      <c r="IS386"/>
      <c r="IT386"/>
      <c r="IU386"/>
      <c r="IV386"/>
      <c r="IW386"/>
      <c r="IX386"/>
      <c r="IY386"/>
      <c r="IZ386"/>
      <c r="JA386"/>
      <c r="JB386"/>
      <c r="JC386"/>
      <c r="JD386"/>
      <c r="JE386"/>
      <c r="JF386"/>
      <c r="JG386"/>
      <c r="JH386"/>
      <c r="JI386"/>
      <c r="JJ386"/>
      <c r="JK386"/>
      <c r="JL386"/>
      <c r="JM386"/>
      <c r="JN386"/>
      <c r="JO386"/>
      <c r="JP386"/>
      <c r="JQ386"/>
      <c r="JR386"/>
      <c r="JS386"/>
      <c r="JT386"/>
      <c r="JU386"/>
      <c r="JV386"/>
      <c r="JW386"/>
      <c r="JX386"/>
      <c r="JY386"/>
      <c r="JZ386"/>
      <c r="KA386"/>
      <c r="KB386"/>
      <c r="KC386"/>
      <c r="KD386"/>
      <c r="KE386"/>
      <c r="KF386"/>
      <c r="KG386"/>
      <c r="KH386"/>
      <c r="KI386"/>
      <c r="KJ386"/>
      <c r="KK386"/>
      <c r="KL386"/>
      <c r="KM386"/>
      <c r="KN386"/>
      <c r="KO386"/>
      <c r="KP386"/>
      <c r="KQ386"/>
      <c r="KR386"/>
      <c r="KS386"/>
    </row>
    <row r="387" spans="2:305" hidden="1" x14ac:dyDescent="0.25">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c r="EO387"/>
      <c r="EP387"/>
      <c r="EQ387"/>
      <c r="ER387"/>
      <c r="ES387"/>
      <c r="ET387"/>
      <c r="EU387"/>
      <c r="EV387"/>
      <c r="EW387"/>
      <c r="EX387"/>
      <c r="EY387"/>
      <c r="EZ387"/>
      <c r="FA387"/>
      <c r="FB387"/>
      <c r="FC387"/>
      <c r="FD387"/>
      <c r="FE387"/>
      <c r="FF387"/>
      <c r="FG387"/>
      <c r="FH387"/>
      <c r="FI387"/>
      <c r="FJ387"/>
      <c r="FK387"/>
      <c r="FL387"/>
      <c r="FM387"/>
      <c r="FN387"/>
      <c r="FO387"/>
      <c r="FP387"/>
      <c r="FQ387"/>
      <c r="FR387"/>
      <c r="FS387"/>
      <c r="FT387"/>
      <c r="FU387"/>
      <c r="FV387"/>
      <c r="FW387"/>
      <c r="FX387"/>
      <c r="FY387"/>
      <c r="FZ387"/>
      <c r="GA387"/>
      <c r="GB387"/>
      <c r="GC387"/>
      <c r="GD387"/>
      <c r="GE387"/>
      <c r="GF387"/>
      <c r="GG387"/>
      <c r="GH387"/>
      <c r="GI387"/>
      <c r="GJ387"/>
      <c r="GK387"/>
      <c r="GL387"/>
      <c r="GM387"/>
      <c r="GN387"/>
      <c r="GO387"/>
      <c r="GP387"/>
      <c r="GQ387"/>
      <c r="GR387"/>
      <c r="GS387"/>
      <c r="GT387"/>
      <c r="GU387"/>
      <c r="GV387"/>
      <c r="GW387"/>
      <c r="GX387"/>
      <c r="GY387"/>
      <c r="GZ387"/>
      <c r="HA387"/>
      <c r="HB387"/>
      <c r="HC387"/>
      <c r="HD387"/>
      <c r="HE387"/>
      <c r="HF387"/>
      <c r="HG387"/>
      <c r="HH387"/>
      <c r="HI387"/>
      <c r="HJ387"/>
      <c r="HK387"/>
      <c r="HL387"/>
      <c r="HM387"/>
      <c r="HN387"/>
      <c r="HO387"/>
      <c r="HP387"/>
      <c r="HQ387"/>
      <c r="HR387"/>
      <c r="HS387"/>
      <c r="HT387"/>
      <c r="HU387"/>
      <c r="HV387"/>
      <c r="HW387"/>
      <c r="HX387"/>
      <c r="HY387"/>
      <c r="HZ387"/>
      <c r="IA387"/>
      <c r="IB387"/>
      <c r="IC387"/>
      <c r="ID387"/>
      <c r="IE387"/>
      <c r="IF387"/>
      <c r="IG387"/>
      <c r="IH387"/>
      <c r="II387"/>
      <c r="IJ387"/>
      <c r="IK387"/>
      <c r="IL387"/>
      <c r="IM387"/>
      <c r="IN387"/>
      <c r="IO387"/>
      <c r="IP387"/>
      <c r="IQ387"/>
      <c r="IR387"/>
      <c r="IS387"/>
      <c r="IT387"/>
      <c r="IU387"/>
      <c r="IV387"/>
      <c r="IW387"/>
      <c r="IX387"/>
      <c r="IY387"/>
      <c r="IZ387"/>
      <c r="JA387"/>
      <c r="JB387"/>
      <c r="JC387"/>
      <c r="JD387"/>
      <c r="JE387"/>
      <c r="JF387"/>
      <c r="JG387"/>
      <c r="JH387"/>
      <c r="JI387"/>
      <c r="JJ387"/>
      <c r="JK387"/>
      <c r="JL387"/>
      <c r="JM387"/>
      <c r="JN387"/>
      <c r="JO387"/>
      <c r="JP387"/>
      <c r="JQ387"/>
      <c r="JR387"/>
      <c r="JS387"/>
      <c r="JT387"/>
      <c r="JU387"/>
      <c r="JV387"/>
      <c r="JW387"/>
      <c r="JX387"/>
      <c r="JY387"/>
      <c r="JZ387"/>
      <c r="KA387"/>
      <c r="KB387"/>
      <c r="KC387"/>
      <c r="KD387"/>
      <c r="KE387"/>
      <c r="KF387"/>
      <c r="KG387"/>
      <c r="KH387"/>
      <c r="KI387"/>
      <c r="KJ387"/>
      <c r="KK387"/>
      <c r="KL387"/>
      <c r="KM387"/>
      <c r="KN387"/>
      <c r="KO387"/>
      <c r="KP387"/>
      <c r="KQ387"/>
      <c r="KR387"/>
      <c r="KS387"/>
    </row>
    <row r="388" spans="2:305" hidden="1" x14ac:dyDescent="0.25">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c r="EO388"/>
      <c r="EP388"/>
      <c r="EQ388"/>
      <c r="ER388"/>
      <c r="ES388"/>
      <c r="ET388"/>
      <c r="EU388"/>
      <c r="EV388"/>
      <c r="EW388"/>
      <c r="EX388"/>
      <c r="EY388"/>
      <c r="EZ388"/>
      <c r="FA388"/>
      <c r="FB388"/>
      <c r="FC388"/>
      <c r="FD388"/>
      <c r="FE388"/>
      <c r="FF388"/>
      <c r="FG388"/>
      <c r="FH388"/>
      <c r="FI388"/>
      <c r="FJ388"/>
      <c r="FK388"/>
      <c r="FL388"/>
      <c r="FM388"/>
      <c r="FN388"/>
      <c r="FO388"/>
      <c r="FP388"/>
      <c r="FQ388"/>
      <c r="FR388"/>
      <c r="FS388"/>
      <c r="FT388"/>
      <c r="FU388"/>
      <c r="FV388"/>
      <c r="FW388"/>
      <c r="FX388"/>
      <c r="FY388"/>
      <c r="FZ388"/>
      <c r="GA388"/>
      <c r="GB388"/>
      <c r="GC388"/>
      <c r="GD388"/>
      <c r="GE388"/>
      <c r="GF388"/>
      <c r="GG388"/>
      <c r="GH388"/>
      <c r="GI388"/>
      <c r="GJ388"/>
      <c r="GK388"/>
      <c r="GL388"/>
      <c r="GM388"/>
      <c r="GN388"/>
      <c r="GO388"/>
      <c r="GP388"/>
      <c r="GQ388"/>
      <c r="GR388"/>
      <c r="GS388"/>
      <c r="GT388"/>
      <c r="GU388"/>
      <c r="GV388"/>
      <c r="GW388"/>
      <c r="GX388"/>
      <c r="GY388"/>
      <c r="GZ388"/>
      <c r="HA388"/>
      <c r="HB388"/>
      <c r="HC388"/>
      <c r="HD388"/>
      <c r="HE388"/>
      <c r="HF388"/>
      <c r="HG388"/>
      <c r="HH388"/>
      <c r="HI388"/>
      <c r="HJ388"/>
      <c r="HK388"/>
      <c r="HL388"/>
      <c r="HM388"/>
      <c r="HN388"/>
      <c r="HO388"/>
      <c r="HP388"/>
      <c r="HQ388"/>
      <c r="HR388"/>
      <c r="HS388"/>
      <c r="HT388"/>
      <c r="HU388"/>
      <c r="HV388"/>
      <c r="HW388"/>
      <c r="HX388"/>
      <c r="HY388"/>
      <c r="HZ388"/>
      <c r="IA388"/>
      <c r="IB388"/>
      <c r="IC388"/>
      <c r="ID388"/>
      <c r="IE388"/>
      <c r="IF388"/>
      <c r="IG388"/>
      <c r="IH388"/>
      <c r="II388"/>
      <c r="IJ388"/>
      <c r="IK388"/>
      <c r="IL388"/>
      <c r="IM388"/>
      <c r="IN388"/>
      <c r="IO388"/>
      <c r="IP388"/>
      <c r="IQ388"/>
      <c r="IR388"/>
      <c r="IS388"/>
      <c r="IT388"/>
      <c r="IU388"/>
      <c r="IV388"/>
      <c r="IW388"/>
      <c r="IX388"/>
      <c r="IY388"/>
      <c r="IZ388"/>
      <c r="JA388"/>
      <c r="JB388"/>
      <c r="JC388"/>
      <c r="JD388"/>
      <c r="JE388"/>
      <c r="JF388"/>
      <c r="JG388"/>
      <c r="JH388"/>
      <c r="JI388"/>
      <c r="JJ388"/>
      <c r="JK388"/>
      <c r="JL388"/>
      <c r="JM388"/>
      <c r="JN388"/>
      <c r="JO388"/>
      <c r="JP388"/>
      <c r="JQ388"/>
      <c r="JR388"/>
      <c r="JS388"/>
      <c r="JT388"/>
      <c r="JU388"/>
      <c r="JV388"/>
      <c r="JW388"/>
      <c r="JX388"/>
      <c r="JY388"/>
      <c r="JZ388"/>
      <c r="KA388"/>
      <c r="KB388"/>
      <c r="KC388"/>
      <c r="KD388"/>
      <c r="KE388"/>
      <c r="KF388"/>
      <c r="KG388"/>
      <c r="KH388"/>
      <c r="KI388"/>
      <c r="KJ388"/>
      <c r="KK388"/>
      <c r="KL388"/>
      <c r="KM388"/>
      <c r="KN388"/>
      <c r="KO388"/>
      <c r="KP388"/>
      <c r="KQ388"/>
      <c r="KR388"/>
      <c r="KS388"/>
    </row>
    <row r="389" spans="2:305" hidden="1" x14ac:dyDescent="0.25">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c r="EO389"/>
      <c r="EP389"/>
      <c r="EQ389"/>
      <c r="ER389"/>
      <c r="ES389"/>
      <c r="ET389"/>
      <c r="EU389"/>
      <c r="EV389"/>
      <c r="EW389"/>
      <c r="EX389"/>
      <c r="EY389"/>
      <c r="EZ389"/>
      <c r="FA389"/>
      <c r="FB389"/>
      <c r="FC389"/>
      <c r="FD389"/>
      <c r="FE389"/>
      <c r="FF389"/>
      <c r="FG389"/>
      <c r="FH389"/>
      <c r="FI389"/>
      <c r="FJ389"/>
      <c r="FK389"/>
      <c r="FL389"/>
      <c r="FM389"/>
      <c r="FN389"/>
      <c r="FO389"/>
      <c r="FP389"/>
      <c r="FQ389"/>
      <c r="FR389"/>
      <c r="FS389"/>
      <c r="FT389"/>
      <c r="FU389"/>
      <c r="FV389"/>
      <c r="FW389"/>
      <c r="FX389"/>
      <c r="FY389"/>
      <c r="FZ389"/>
      <c r="GA389"/>
      <c r="GB389"/>
      <c r="GC389"/>
      <c r="GD389"/>
      <c r="GE389"/>
      <c r="GF389"/>
      <c r="GG389"/>
      <c r="GH389"/>
      <c r="GI389"/>
      <c r="GJ389"/>
      <c r="GK389"/>
      <c r="GL389"/>
      <c r="GM389"/>
      <c r="GN389"/>
      <c r="GO389"/>
      <c r="GP389"/>
      <c r="GQ389"/>
      <c r="GR389"/>
      <c r="GS389"/>
      <c r="GT389"/>
      <c r="GU389"/>
      <c r="GV389"/>
      <c r="GW389"/>
      <c r="GX389"/>
      <c r="GY389"/>
      <c r="GZ389"/>
      <c r="HA389"/>
      <c r="HB389"/>
      <c r="HC389"/>
      <c r="HD389"/>
      <c r="HE389"/>
      <c r="HF389"/>
      <c r="HG389"/>
      <c r="HH389"/>
      <c r="HI389"/>
      <c r="HJ389"/>
      <c r="HK389"/>
      <c r="HL389"/>
      <c r="HM389"/>
      <c r="HN389"/>
      <c r="HO389"/>
      <c r="HP389"/>
      <c r="HQ389"/>
      <c r="HR389"/>
      <c r="HS389"/>
      <c r="HT389"/>
      <c r="HU389"/>
      <c r="HV389"/>
      <c r="HW389"/>
      <c r="HX389"/>
      <c r="HY389"/>
      <c r="HZ389"/>
      <c r="IA389"/>
      <c r="IB389"/>
      <c r="IC389"/>
      <c r="ID389"/>
      <c r="IE389"/>
      <c r="IF389"/>
      <c r="IG389"/>
      <c r="IH389"/>
      <c r="II389"/>
      <c r="IJ389"/>
      <c r="IK389"/>
      <c r="IL389"/>
      <c r="IM389"/>
      <c r="IN389"/>
      <c r="IO389"/>
      <c r="IP389"/>
      <c r="IQ389"/>
      <c r="IR389"/>
      <c r="IS389"/>
      <c r="IT389"/>
      <c r="IU389"/>
      <c r="IV389"/>
      <c r="IW389"/>
      <c r="IX389"/>
      <c r="IY389"/>
      <c r="IZ389"/>
      <c r="JA389"/>
      <c r="JB389"/>
      <c r="JC389"/>
      <c r="JD389"/>
      <c r="JE389"/>
      <c r="JF389"/>
      <c r="JG389"/>
      <c r="JH389"/>
      <c r="JI389"/>
      <c r="JJ389"/>
      <c r="JK389"/>
      <c r="JL389"/>
      <c r="JM389"/>
      <c r="JN389"/>
      <c r="JO389"/>
      <c r="JP389"/>
      <c r="JQ389"/>
      <c r="JR389"/>
      <c r="JS389"/>
      <c r="JT389"/>
      <c r="JU389"/>
      <c r="JV389"/>
      <c r="JW389"/>
      <c r="JX389"/>
      <c r="JY389"/>
      <c r="JZ389"/>
      <c r="KA389"/>
      <c r="KB389"/>
      <c r="KC389"/>
      <c r="KD389"/>
      <c r="KE389"/>
      <c r="KF389"/>
      <c r="KG389"/>
      <c r="KH389"/>
      <c r="KI389"/>
      <c r="KJ389"/>
      <c r="KK389"/>
      <c r="KL389"/>
      <c r="KM389"/>
      <c r="KN389"/>
      <c r="KO389"/>
      <c r="KP389"/>
      <c r="KQ389"/>
      <c r="KR389"/>
      <c r="KS389"/>
    </row>
    <row r="390" spans="2:305" hidden="1" x14ac:dyDescent="0.25">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c r="EO390"/>
      <c r="EP390"/>
      <c r="EQ390"/>
      <c r="ER390"/>
      <c r="ES390"/>
      <c r="ET390"/>
      <c r="EU390"/>
      <c r="EV390"/>
      <c r="EW390"/>
      <c r="EX390"/>
      <c r="EY390"/>
      <c r="EZ390"/>
      <c r="FA390"/>
      <c r="FB390"/>
      <c r="FC390"/>
      <c r="FD390"/>
      <c r="FE390"/>
      <c r="FF390"/>
      <c r="FG390"/>
      <c r="FH390"/>
      <c r="FI390"/>
      <c r="FJ390"/>
      <c r="FK390"/>
      <c r="FL390"/>
      <c r="FM390"/>
      <c r="FN390"/>
      <c r="FO390"/>
      <c r="FP390"/>
      <c r="FQ390"/>
      <c r="FR390"/>
      <c r="FS390"/>
      <c r="FT390"/>
      <c r="FU390"/>
      <c r="FV390"/>
      <c r="FW390"/>
      <c r="FX390"/>
      <c r="FY390"/>
      <c r="FZ390"/>
      <c r="GA390"/>
      <c r="GB390"/>
      <c r="GC390"/>
      <c r="GD390"/>
      <c r="GE390"/>
      <c r="GF390"/>
      <c r="GG390"/>
      <c r="GH390"/>
      <c r="GI390"/>
      <c r="GJ390"/>
      <c r="GK390"/>
      <c r="GL390"/>
      <c r="GM390"/>
      <c r="GN390"/>
      <c r="GO390"/>
      <c r="GP390"/>
      <c r="GQ390"/>
      <c r="GR390"/>
      <c r="GS390"/>
      <c r="GT390"/>
      <c r="GU390"/>
      <c r="GV390"/>
      <c r="GW390"/>
      <c r="GX390"/>
      <c r="GY390"/>
      <c r="GZ390"/>
      <c r="HA390"/>
      <c r="HB390"/>
      <c r="HC390"/>
      <c r="HD390"/>
      <c r="HE390"/>
      <c r="HF390"/>
      <c r="HG390"/>
      <c r="HH390"/>
      <c r="HI390"/>
      <c r="HJ390"/>
      <c r="HK390"/>
      <c r="HL390"/>
      <c r="HM390"/>
      <c r="HN390"/>
      <c r="HO390"/>
      <c r="HP390"/>
      <c r="HQ390"/>
      <c r="HR390"/>
      <c r="HS390"/>
      <c r="HT390"/>
      <c r="HU390"/>
      <c r="HV390"/>
      <c r="HW390"/>
      <c r="HX390"/>
      <c r="HY390"/>
      <c r="HZ390"/>
      <c r="IA390"/>
      <c r="IB390"/>
      <c r="IC390"/>
      <c r="ID390"/>
      <c r="IE390"/>
      <c r="IF390"/>
      <c r="IG390"/>
      <c r="IH390"/>
      <c r="II390"/>
      <c r="IJ390"/>
      <c r="IK390"/>
      <c r="IL390"/>
      <c r="IM390"/>
      <c r="IN390"/>
      <c r="IO390"/>
      <c r="IP390"/>
      <c r="IQ390"/>
      <c r="IR390"/>
      <c r="IS390"/>
      <c r="IT390"/>
      <c r="IU390"/>
      <c r="IV390"/>
      <c r="IW390"/>
      <c r="IX390"/>
      <c r="IY390"/>
      <c r="IZ390"/>
      <c r="JA390"/>
      <c r="JB390"/>
      <c r="JC390"/>
      <c r="JD390"/>
      <c r="JE390"/>
      <c r="JF390"/>
      <c r="JG390"/>
      <c r="JH390"/>
      <c r="JI390"/>
      <c r="JJ390"/>
      <c r="JK390"/>
      <c r="JL390"/>
      <c r="JM390"/>
      <c r="JN390"/>
      <c r="JO390"/>
      <c r="JP390"/>
      <c r="JQ390"/>
      <c r="JR390"/>
      <c r="JS390"/>
      <c r="JT390"/>
      <c r="JU390"/>
      <c r="JV390"/>
      <c r="JW390"/>
      <c r="JX390"/>
      <c r="JY390"/>
      <c r="JZ390"/>
      <c r="KA390"/>
      <c r="KB390"/>
      <c r="KC390"/>
      <c r="KD390"/>
      <c r="KE390"/>
      <c r="KF390"/>
      <c r="KG390"/>
      <c r="KH390"/>
      <c r="KI390"/>
      <c r="KJ390"/>
      <c r="KK390"/>
      <c r="KL390"/>
      <c r="KM390"/>
      <c r="KN390"/>
      <c r="KO390"/>
      <c r="KP390"/>
      <c r="KQ390"/>
      <c r="KR390"/>
      <c r="KS390"/>
    </row>
    <row r="391" spans="2:305" hidden="1" x14ac:dyDescent="0.25">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c r="EO391"/>
      <c r="EP391"/>
      <c r="EQ391"/>
      <c r="ER391"/>
      <c r="ES391"/>
      <c r="ET391"/>
      <c r="EU391"/>
      <c r="EV391"/>
      <c r="EW391"/>
      <c r="EX391"/>
      <c r="EY391"/>
      <c r="EZ391"/>
      <c r="FA391"/>
      <c r="FB391"/>
      <c r="FC391"/>
      <c r="FD391"/>
      <c r="FE391"/>
      <c r="FF391"/>
      <c r="FG391"/>
      <c r="FH391"/>
      <c r="FI391"/>
      <c r="FJ391"/>
      <c r="FK391"/>
      <c r="FL391"/>
      <c r="FM391"/>
      <c r="FN391"/>
      <c r="FO391"/>
      <c r="FP391"/>
      <c r="FQ391"/>
      <c r="FR391"/>
      <c r="FS391"/>
      <c r="FT391"/>
      <c r="FU391"/>
      <c r="FV391"/>
      <c r="FW391"/>
      <c r="FX391"/>
      <c r="FY391"/>
      <c r="FZ391"/>
      <c r="GA391"/>
      <c r="GB391"/>
      <c r="GC391"/>
      <c r="GD391"/>
      <c r="GE391"/>
      <c r="GF391"/>
      <c r="GG391"/>
      <c r="GH391"/>
      <c r="GI391"/>
      <c r="GJ391"/>
      <c r="GK391"/>
      <c r="GL391"/>
      <c r="GM391"/>
      <c r="GN391"/>
      <c r="GO391"/>
      <c r="GP391"/>
      <c r="GQ391"/>
      <c r="GR391"/>
      <c r="GS391"/>
      <c r="GT391"/>
      <c r="GU391"/>
      <c r="GV391"/>
      <c r="GW391"/>
      <c r="GX391"/>
      <c r="GY391"/>
      <c r="GZ391"/>
      <c r="HA391"/>
      <c r="HB391"/>
      <c r="HC391"/>
      <c r="HD391"/>
      <c r="HE391"/>
      <c r="HF391"/>
      <c r="HG391"/>
      <c r="HH391"/>
      <c r="HI391"/>
      <c r="HJ391"/>
      <c r="HK391"/>
      <c r="HL391"/>
      <c r="HM391"/>
      <c r="HN391"/>
      <c r="HO391"/>
      <c r="HP391"/>
      <c r="HQ391"/>
      <c r="HR391"/>
      <c r="HS391"/>
      <c r="HT391"/>
      <c r="HU391"/>
      <c r="HV391"/>
      <c r="HW391"/>
      <c r="HX391"/>
      <c r="HY391"/>
      <c r="HZ391"/>
      <c r="IA391"/>
      <c r="IB391"/>
      <c r="IC391"/>
      <c r="ID391"/>
      <c r="IE391"/>
      <c r="IF391"/>
      <c r="IG391"/>
      <c r="IH391"/>
      <c r="II391"/>
      <c r="IJ391"/>
      <c r="IK391"/>
      <c r="IL391"/>
      <c r="IM391"/>
      <c r="IN391"/>
      <c r="IO391"/>
      <c r="IP391"/>
      <c r="IQ391"/>
      <c r="IR391"/>
      <c r="IS391"/>
      <c r="IT391"/>
      <c r="IU391"/>
      <c r="IV391"/>
      <c r="IW391"/>
      <c r="IX391"/>
      <c r="IY391"/>
      <c r="IZ391"/>
      <c r="JA391"/>
      <c r="JB391"/>
      <c r="JC391"/>
      <c r="JD391"/>
      <c r="JE391"/>
      <c r="JF391"/>
      <c r="JG391"/>
      <c r="JH391"/>
      <c r="JI391"/>
      <c r="JJ391"/>
      <c r="JK391"/>
      <c r="JL391"/>
      <c r="JM391"/>
      <c r="JN391"/>
      <c r="JO391"/>
      <c r="JP391"/>
      <c r="JQ391"/>
      <c r="JR391"/>
      <c r="JS391"/>
      <c r="JT391"/>
      <c r="JU391"/>
      <c r="JV391"/>
      <c r="JW391"/>
      <c r="JX391"/>
      <c r="JY391"/>
      <c r="JZ391"/>
      <c r="KA391"/>
      <c r="KB391"/>
      <c r="KC391"/>
      <c r="KD391"/>
      <c r="KE391"/>
      <c r="KF391"/>
      <c r="KG391"/>
      <c r="KH391"/>
      <c r="KI391"/>
      <c r="KJ391"/>
      <c r="KK391"/>
      <c r="KL391"/>
      <c r="KM391"/>
      <c r="KN391"/>
      <c r="KO391"/>
      <c r="KP391"/>
      <c r="KQ391"/>
      <c r="KR391"/>
      <c r="KS391"/>
    </row>
    <row r="392" spans="2:305" hidden="1" x14ac:dyDescent="0.25">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c r="EO392"/>
      <c r="EP392"/>
      <c r="EQ392"/>
      <c r="ER392"/>
      <c r="ES392"/>
      <c r="ET392"/>
      <c r="EU392"/>
      <c r="EV392"/>
      <c r="EW392"/>
      <c r="EX392"/>
      <c r="EY392"/>
      <c r="EZ392"/>
      <c r="FA392"/>
      <c r="FB392"/>
      <c r="FC392"/>
      <c r="FD392"/>
      <c r="FE392"/>
      <c r="FF392"/>
      <c r="FG392"/>
      <c r="FH392"/>
      <c r="FI392"/>
      <c r="FJ392"/>
      <c r="FK392"/>
      <c r="FL392"/>
      <c r="FM392"/>
      <c r="FN392"/>
      <c r="FO392"/>
      <c r="FP392"/>
      <c r="FQ392"/>
      <c r="FR392"/>
      <c r="FS392"/>
      <c r="FT392"/>
      <c r="FU392"/>
      <c r="FV392"/>
      <c r="FW392"/>
      <c r="FX392"/>
      <c r="FY392"/>
      <c r="FZ392"/>
      <c r="GA392"/>
      <c r="GB392"/>
      <c r="GC392"/>
      <c r="GD392"/>
      <c r="GE392"/>
      <c r="GF392"/>
      <c r="GG392"/>
      <c r="GH392"/>
      <c r="GI392"/>
      <c r="GJ392"/>
      <c r="GK392"/>
      <c r="GL392"/>
      <c r="GM392"/>
      <c r="GN392"/>
      <c r="GO392"/>
      <c r="GP392"/>
      <c r="GQ392"/>
      <c r="GR392"/>
      <c r="GS392"/>
      <c r="GT392"/>
      <c r="GU392"/>
      <c r="GV392"/>
      <c r="GW392"/>
      <c r="GX392"/>
      <c r="GY392"/>
      <c r="GZ392"/>
      <c r="HA392"/>
      <c r="HB392"/>
      <c r="HC392"/>
      <c r="HD392"/>
      <c r="HE392"/>
      <c r="HF392"/>
      <c r="HG392"/>
      <c r="HH392"/>
      <c r="HI392"/>
      <c r="HJ392"/>
      <c r="HK392"/>
      <c r="HL392"/>
      <c r="HM392"/>
      <c r="HN392"/>
      <c r="HO392"/>
      <c r="HP392"/>
      <c r="HQ392"/>
      <c r="HR392"/>
      <c r="HS392"/>
      <c r="HT392"/>
      <c r="HU392"/>
      <c r="HV392"/>
      <c r="HW392"/>
      <c r="HX392"/>
      <c r="HY392"/>
      <c r="HZ392"/>
      <c r="IA392"/>
      <c r="IB392"/>
      <c r="IC392"/>
      <c r="ID392"/>
      <c r="IE392"/>
      <c r="IF392"/>
      <c r="IG392"/>
      <c r="IH392"/>
      <c r="II392"/>
      <c r="IJ392"/>
      <c r="IK392"/>
      <c r="IL392"/>
      <c r="IM392"/>
      <c r="IN392"/>
      <c r="IO392"/>
      <c r="IP392"/>
      <c r="IQ392"/>
      <c r="IR392"/>
      <c r="IS392"/>
      <c r="IT392"/>
      <c r="IU392"/>
      <c r="IV392"/>
      <c r="IW392"/>
      <c r="IX392"/>
      <c r="IY392"/>
      <c r="IZ392"/>
      <c r="JA392"/>
      <c r="JB392"/>
      <c r="JC392"/>
      <c r="JD392"/>
      <c r="JE392"/>
      <c r="JF392"/>
      <c r="JG392"/>
      <c r="JH392"/>
      <c r="JI392"/>
      <c r="JJ392"/>
      <c r="JK392"/>
      <c r="JL392"/>
      <c r="JM392"/>
      <c r="JN392"/>
      <c r="JO392"/>
      <c r="JP392"/>
      <c r="JQ392"/>
      <c r="JR392"/>
      <c r="JS392"/>
      <c r="JT392"/>
      <c r="JU392"/>
      <c r="JV392"/>
      <c r="JW392"/>
      <c r="JX392"/>
      <c r="JY392"/>
      <c r="JZ392"/>
      <c r="KA392"/>
      <c r="KB392"/>
      <c r="KC392"/>
      <c r="KD392"/>
      <c r="KE392"/>
      <c r="KF392"/>
      <c r="KG392"/>
      <c r="KH392"/>
      <c r="KI392"/>
      <c r="KJ392"/>
      <c r="KK392"/>
      <c r="KL392"/>
      <c r="KM392"/>
      <c r="KN392"/>
      <c r="KO392"/>
      <c r="KP392"/>
      <c r="KQ392"/>
      <c r="KR392"/>
      <c r="KS392"/>
    </row>
    <row r="393" spans="2:305" hidden="1" x14ac:dyDescent="0.25">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c r="EO393"/>
      <c r="EP393"/>
      <c r="EQ393"/>
      <c r="ER393"/>
      <c r="ES393"/>
      <c r="ET393"/>
      <c r="EU393"/>
      <c r="EV393"/>
      <c r="EW393"/>
      <c r="EX393"/>
      <c r="EY393"/>
      <c r="EZ393"/>
      <c r="FA393"/>
      <c r="FB393"/>
      <c r="FC393"/>
      <c r="FD393"/>
      <c r="FE393"/>
      <c r="FF393"/>
      <c r="FG393"/>
      <c r="FH393"/>
      <c r="FI393"/>
      <c r="FJ393"/>
      <c r="FK393"/>
      <c r="FL393"/>
      <c r="FM393"/>
      <c r="FN393"/>
      <c r="FO393"/>
      <c r="FP393"/>
      <c r="FQ393"/>
      <c r="FR393"/>
      <c r="FS393"/>
      <c r="FT393"/>
      <c r="FU393"/>
      <c r="FV393"/>
      <c r="FW393"/>
      <c r="FX393"/>
      <c r="FY393"/>
      <c r="FZ393"/>
      <c r="GA393"/>
      <c r="GB393"/>
      <c r="GC393"/>
      <c r="GD393"/>
      <c r="GE393"/>
      <c r="GF393"/>
      <c r="GG393"/>
      <c r="GH393"/>
      <c r="GI393"/>
      <c r="GJ393"/>
      <c r="GK393"/>
      <c r="GL393"/>
      <c r="GM393"/>
      <c r="GN393"/>
      <c r="GO393"/>
      <c r="GP393"/>
      <c r="GQ393"/>
      <c r="GR393"/>
      <c r="GS393"/>
      <c r="GT393"/>
      <c r="GU393"/>
      <c r="GV393"/>
      <c r="GW393"/>
      <c r="GX393"/>
      <c r="GY393"/>
      <c r="GZ393"/>
      <c r="HA393"/>
      <c r="HB393"/>
      <c r="HC393"/>
      <c r="HD393"/>
      <c r="HE393"/>
      <c r="HF393"/>
      <c r="HG393"/>
      <c r="HH393"/>
      <c r="HI393"/>
      <c r="HJ393"/>
      <c r="HK393"/>
      <c r="HL393"/>
      <c r="HM393"/>
      <c r="HN393"/>
      <c r="HO393"/>
      <c r="HP393"/>
      <c r="HQ393"/>
      <c r="HR393"/>
      <c r="HS393"/>
      <c r="HT393"/>
      <c r="HU393"/>
      <c r="HV393"/>
      <c r="HW393"/>
      <c r="HX393"/>
      <c r="HY393"/>
      <c r="HZ393"/>
      <c r="IA393"/>
      <c r="IB393"/>
      <c r="IC393"/>
      <c r="ID393"/>
      <c r="IE393"/>
      <c r="IF393"/>
      <c r="IG393"/>
      <c r="IH393"/>
      <c r="II393"/>
      <c r="IJ393"/>
      <c r="IK393"/>
      <c r="IL393"/>
      <c r="IM393"/>
      <c r="IN393"/>
      <c r="IO393"/>
      <c r="IP393"/>
      <c r="IQ393"/>
      <c r="IR393"/>
      <c r="IS393"/>
      <c r="IT393"/>
      <c r="IU393"/>
      <c r="IV393"/>
      <c r="IW393"/>
      <c r="IX393"/>
      <c r="IY393"/>
      <c r="IZ393"/>
      <c r="JA393"/>
      <c r="JB393"/>
      <c r="JC393"/>
      <c r="JD393"/>
      <c r="JE393"/>
      <c r="JF393"/>
      <c r="JG393"/>
      <c r="JH393"/>
      <c r="JI393"/>
      <c r="JJ393"/>
      <c r="JK393"/>
      <c r="JL393"/>
      <c r="JM393"/>
      <c r="JN393"/>
      <c r="JO393"/>
      <c r="JP393"/>
      <c r="JQ393"/>
      <c r="JR393"/>
      <c r="JS393"/>
      <c r="JT393"/>
      <c r="JU393"/>
      <c r="JV393"/>
      <c r="JW393"/>
      <c r="JX393"/>
      <c r="JY393"/>
      <c r="JZ393"/>
      <c r="KA393"/>
      <c r="KB393"/>
      <c r="KC393"/>
      <c r="KD393"/>
      <c r="KE393"/>
      <c r="KF393"/>
      <c r="KG393"/>
      <c r="KH393"/>
      <c r="KI393"/>
      <c r="KJ393"/>
      <c r="KK393"/>
      <c r="KL393"/>
      <c r="KM393"/>
      <c r="KN393"/>
      <c r="KO393"/>
      <c r="KP393"/>
      <c r="KQ393"/>
      <c r="KR393"/>
      <c r="KS393"/>
    </row>
    <row r="394" spans="2:305" hidden="1" x14ac:dyDescent="0.25">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c r="EO394"/>
      <c r="EP394"/>
      <c r="EQ394"/>
      <c r="ER394"/>
      <c r="ES394"/>
      <c r="ET394"/>
      <c r="EU394"/>
      <c r="EV394"/>
      <c r="EW394"/>
      <c r="EX394"/>
      <c r="EY394"/>
      <c r="EZ394"/>
      <c r="FA394"/>
      <c r="FB394"/>
      <c r="FC394"/>
      <c r="FD394"/>
      <c r="FE394"/>
      <c r="FF394"/>
      <c r="FG394"/>
      <c r="FH394"/>
      <c r="FI394"/>
      <c r="FJ394"/>
      <c r="FK394"/>
      <c r="FL394"/>
      <c r="FM394"/>
      <c r="FN394"/>
      <c r="FO394"/>
      <c r="FP394"/>
      <c r="FQ394"/>
      <c r="FR394"/>
      <c r="FS394"/>
      <c r="FT394"/>
      <c r="FU394"/>
      <c r="FV394"/>
      <c r="FW394"/>
      <c r="FX394"/>
      <c r="FY394"/>
      <c r="FZ394"/>
      <c r="GA394"/>
      <c r="GB394"/>
      <c r="GC394"/>
      <c r="GD394"/>
      <c r="GE394"/>
      <c r="GF394"/>
      <c r="GG394"/>
      <c r="GH394"/>
      <c r="GI394"/>
      <c r="GJ394"/>
      <c r="GK394"/>
      <c r="GL394"/>
      <c r="GM394"/>
      <c r="GN394"/>
      <c r="GO394"/>
      <c r="GP394"/>
      <c r="GQ394"/>
      <c r="GR394"/>
      <c r="GS394"/>
      <c r="GT394"/>
      <c r="GU394"/>
      <c r="GV394"/>
      <c r="GW394"/>
      <c r="GX394"/>
      <c r="GY394"/>
      <c r="GZ394"/>
      <c r="HA394"/>
      <c r="HB394"/>
      <c r="HC394"/>
      <c r="HD394"/>
      <c r="HE394"/>
      <c r="HF394"/>
      <c r="HG394"/>
      <c r="HH394"/>
      <c r="HI394"/>
      <c r="HJ394"/>
      <c r="HK394"/>
      <c r="HL394"/>
      <c r="HM394"/>
      <c r="HN394"/>
      <c r="HO394"/>
      <c r="HP394"/>
      <c r="HQ394"/>
      <c r="HR394"/>
      <c r="HS394"/>
      <c r="HT394"/>
      <c r="HU394"/>
      <c r="HV394"/>
      <c r="HW394"/>
      <c r="HX394"/>
      <c r="HY394"/>
      <c r="HZ394"/>
      <c r="IA394"/>
      <c r="IB394"/>
      <c r="IC394"/>
      <c r="ID394"/>
      <c r="IE394"/>
      <c r="IF394"/>
      <c r="IG394"/>
      <c r="IH394"/>
      <c r="II394"/>
      <c r="IJ394"/>
      <c r="IK394"/>
      <c r="IL394"/>
      <c r="IM394"/>
      <c r="IN394"/>
      <c r="IO394"/>
      <c r="IP394"/>
      <c r="IQ394"/>
      <c r="IR394"/>
      <c r="IS394"/>
      <c r="IT394"/>
      <c r="IU394"/>
      <c r="IV394"/>
      <c r="IW394"/>
      <c r="IX394"/>
      <c r="IY394"/>
      <c r="IZ394"/>
      <c r="JA394"/>
      <c r="JB394"/>
      <c r="JC394"/>
      <c r="JD394"/>
      <c r="JE394"/>
      <c r="JF394"/>
      <c r="JG394"/>
      <c r="JH394"/>
      <c r="JI394"/>
      <c r="JJ394"/>
      <c r="JK394"/>
      <c r="JL394"/>
      <c r="JM394"/>
      <c r="JN394"/>
      <c r="JO394"/>
      <c r="JP394"/>
      <c r="JQ394"/>
      <c r="JR394"/>
      <c r="JS394"/>
      <c r="JT394"/>
      <c r="JU394"/>
      <c r="JV394"/>
      <c r="JW394"/>
      <c r="JX394"/>
      <c r="JY394"/>
      <c r="JZ394"/>
      <c r="KA394"/>
      <c r="KB394"/>
      <c r="KC394"/>
      <c r="KD394"/>
      <c r="KE394"/>
      <c r="KF394"/>
      <c r="KG394"/>
      <c r="KH394"/>
      <c r="KI394"/>
      <c r="KJ394"/>
      <c r="KK394"/>
      <c r="KL394"/>
      <c r="KM394"/>
      <c r="KN394"/>
      <c r="KO394"/>
      <c r="KP394"/>
      <c r="KQ394"/>
      <c r="KR394"/>
      <c r="KS394"/>
    </row>
    <row r="395" spans="2:305" hidden="1" x14ac:dyDescent="0.2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c r="EO395"/>
      <c r="EP395"/>
      <c r="EQ395"/>
      <c r="ER395"/>
      <c r="ES395"/>
      <c r="ET395"/>
      <c r="EU395"/>
      <c r="EV395"/>
      <c r="EW395"/>
      <c r="EX395"/>
      <c r="EY395"/>
      <c r="EZ395"/>
      <c r="FA395"/>
      <c r="FB395"/>
      <c r="FC395"/>
      <c r="FD395"/>
      <c r="FE395"/>
      <c r="FF395"/>
      <c r="FG395"/>
      <c r="FH395"/>
      <c r="FI395"/>
      <c r="FJ395"/>
      <c r="FK395"/>
      <c r="FL395"/>
      <c r="FM395"/>
      <c r="FN395"/>
      <c r="FO395"/>
      <c r="FP395"/>
      <c r="FQ395"/>
      <c r="FR395"/>
      <c r="FS395"/>
      <c r="FT395"/>
      <c r="FU395"/>
      <c r="FV395"/>
      <c r="FW395"/>
      <c r="FX395"/>
      <c r="FY395"/>
      <c r="FZ395"/>
      <c r="GA395"/>
      <c r="GB395"/>
      <c r="GC395"/>
      <c r="GD395"/>
      <c r="GE395"/>
      <c r="GF395"/>
      <c r="GG395"/>
      <c r="GH395"/>
      <c r="GI395"/>
      <c r="GJ395"/>
      <c r="GK395"/>
      <c r="GL395"/>
      <c r="GM395"/>
      <c r="GN395"/>
      <c r="GO395"/>
      <c r="GP395"/>
      <c r="GQ395"/>
      <c r="GR395"/>
      <c r="GS395"/>
      <c r="GT395"/>
      <c r="GU395"/>
      <c r="GV395"/>
      <c r="GW395"/>
      <c r="GX395"/>
      <c r="GY395"/>
      <c r="GZ395"/>
      <c r="HA395"/>
      <c r="HB395"/>
      <c r="HC395"/>
      <c r="HD395"/>
      <c r="HE395"/>
      <c r="HF395"/>
      <c r="HG395"/>
      <c r="HH395"/>
      <c r="HI395"/>
      <c r="HJ395"/>
      <c r="HK395"/>
      <c r="HL395"/>
      <c r="HM395"/>
      <c r="HN395"/>
      <c r="HO395"/>
      <c r="HP395"/>
      <c r="HQ395"/>
      <c r="HR395"/>
      <c r="HS395"/>
      <c r="HT395"/>
      <c r="HU395"/>
      <c r="HV395"/>
      <c r="HW395"/>
      <c r="HX395"/>
      <c r="HY395"/>
      <c r="HZ395"/>
      <c r="IA395"/>
      <c r="IB395"/>
      <c r="IC395"/>
      <c r="ID395"/>
      <c r="IE395"/>
      <c r="IF395"/>
      <c r="IG395"/>
      <c r="IH395"/>
      <c r="II395"/>
      <c r="IJ395"/>
      <c r="IK395"/>
      <c r="IL395"/>
      <c r="IM395"/>
      <c r="IN395"/>
      <c r="IO395"/>
      <c r="IP395"/>
      <c r="IQ395"/>
      <c r="IR395"/>
      <c r="IS395"/>
      <c r="IT395"/>
      <c r="IU395"/>
      <c r="IV395"/>
      <c r="IW395"/>
      <c r="IX395"/>
      <c r="IY395"/>
      <c r="IZ395"/>
      <c r="JA395"/>
      <c r="JB395"/>
      <c r="JC395"/>
      <c r="JD395"/>
      <c r="JE395"/>
      <c r="JF395"/>
      <c r="JG395"/>
      <c r="JH395"/>
      <c r="JI395"/>
      <c r="JJ395"/>
      <c r="JK395"/>
      <c r="JL395"/>
      <c r="JM395"/>
      <c r="JN395"/>
      <c r="JO395"/>
      <c r="JP395"/>
      <c r="JQ395"/>
      <c r="JR395"/>
      <c r="JS395"/>
      <c r="JT395"/>
      <c r="JU395"/>
      <c r="JV395"/>
      <c r="JW395"/>
      <c r="JX395"/>
      <c r="JY395"/>
      <c r="JZ395"/>
      <c r="KA395"/>
      <c r="KB395"/>
      <c r="KC395"/>
      <c r="KD395"/>
      <c r="KE395"/>
      <c r="KF395"/>
      <c r="KG395"/>
      <c r="KH395"/>
      <c r="KI395"/>
      <c r="KJ395"/>
      <c r="KK395"/>
      <c r="KL395"/>
      <c r="KM395"/>
      <c r="KN395"/>
      <c r="KO395"/>
      <c r="KP395"/>
      <c r="KQ395"/>
      <c r="KR395"/>
      <c r="KS395"/>
    </row>
    <row r="396" spans="2:305" hidden="1" x14ac:dyDescent="0.25">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c r="EO396"/>
      <c r="EP396"/>
      <c r="EQ396"/>
      <c r="ER396"/>
      <c r="ES396"/>
      <c r="ET396"/>
      <c r="EU396"/>
      <c r="EV396"/>
      <c r="EW396"/>
      <c r="EX396"/>
      <c r="EY396"/>
      <c r="EZ396"/>
      <c r="FA396"/>
      <c r="FB396"/>
      <c r="FC396"/>
      <c r="FD396"/>
      <c r="FE396"/>
      <c r="FF396"/>
      <c r="FG396"/>
      <c r="FH396"/>
      <c r="FI396"/>
      <c r="FJ396"/>
      <c r="FK396"/>
      <c r="FL396"/>
      <c r="FM396"/>
      <c r="FN396"/>
      <c r="FO396"/>
      <c r="FP396"/>
      <c r="FQ396"/>
      <c r="FR396"/>
      <c r="FS396"/>
      <c r="FT396"/>
      <c r="FU396"/>
      <c r="FV396"/>
      <c r="FW396"/>
      <c r="FX396"/>
      <c r="FY396"/>
      <c r="FZ396"/>
      <c r="GA396"/>
      <c r="GB396"/>
      <c r="GC396"/>
      <c r="GD396"/>
      <c r="GE396"/>
      <c r="GF396"/>
      <c r="GG396"/>
      <c r="GH396"/>
      <c r="GI396"/>
      <c r="GJ396"/>
      <c r="GK396"/>
      <c r="GL396"/>
      <c r="GM396"/>
      <c r="GN396"/>
      <c r="GO396"/>
      <c r="GP396"/>
      <c r="GQ396"/>
      <c r="GR396"/>
      <c r="GS396"/>
      <c r="GT396"/>
      <c r="GU396"/>
      <c r="GV396"/>
      <c r="GW396"/>
      <c r="GX396"/>
      <c r="GY396"/>
      <c r="GZ396"/>
      <c r="HA396"/>
      <c r="HB396"/>
      <c r="HC396"/>
      <c r="HD396"/>
      <c r="HE396"/>
      <c r="HF396"/>
      <c r="HG396"/>
      <c r="HH396"/>
      <c r="HI396"/>
      <c r="HJ396"/>
      <c r="HK396"/>
      <c r="HL396"/>
      <c r="HM396"/>
      <c r="HN396"/>
      <c r="HO396"/>
      <c r="HP396"/>
      <c r="HQ396"/>
      <c r="HR396"/>
      <c r="HS396"/>
      <c r="HT396"/>
      <c r="HU396"/>
      <c r="HV396"/>
      <c r="HW396"/>
      <c r="HX396"/>
      <c r="HY396"/>
      <c r="HZ396"/>
      <c r="IA396"/>
      <c r="IB396"/>
      <c r="IC396"/>
      <c r="ID396"/>
      <c r="IE396"/>
      <c r="IF396"/>
      <c r="IG396"/>
      <c r="IH396"/>
      <c r="II396"/>
      <c r="IJ396"/>
      <c r="IK396"/>
      <c r="IL396"/>
      <c r="IM396"/>
      <c r="IN396"/>
      <c r="IO396"/>
      <c r="IP396"/>
      <c r="IQ396"/>
      <c r="IR396"/>
      <c r="IS396"/>
      <c r="IT396"/>
      <c r="IU396"/>
      <c r="IV396"/>
      <c r="IW396"/>
      <c r="IX396"/>
      <c r="IY396"/>
      <c r="IZ396"/>
      <c r="JA396"/>
      <c r="JB396"/>
      <c r="JC396"/>
      <c r="JD396"/>
      <c r="JE396"/>
      <c r="JF396"/>
      <c r="JG396"/>
      <c r="JH396"/>
      <c r="JI396"/>
      <c r="JJ396"/>
      <c r="JK396"/>
      <c r="JL396"/>
      <c r="JM396"/>
      <c r="JN396"/>
      <c r="JO396"/>
      <c r="JP396"/>
      <c r="JQ396"/>
      <c r="JR396"/>
      <c r="JS396"/>
      <c r="JT396"/>
      <c r="JU396"/>
      <c r="JV396"/>
      <c r="JW396"/>
      <c r="JX396"/>
      <c r="JY396"/>
      <c r="JZ396"/>
      <c r="KA396"/>
      <c r="KB396"/>
      <c r="KC396"/>
      <c r="KD396"/>
      <c r="KE396"/>
      <c r="KF396"/>
      <c r="KG396"/>
      <c r="KH396"/>
      <c r="KI396"/>
      <c r="KJ396"/>
      <c r="KK396"/>
      <c r="KL396"/>
      <c r="KM396"/>
      <c r="KN396"/>
      <c r="KO396"/>
      <c r="KP396"/>
      <c r="KQ396"/>
      <c r="KR396"/>
      <c r="KS396"/>
    </row>
    <row r="397" spans="2:305" hidden="1" x14ac:dyDescent="0.25">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c r="EO397"/>
      <c r="EP397"/>
      <c r="EQ397"/>
      <c r="ER397"/>
      <c r="ES397"/>
      <c r="ET397"/>
      <c r="EU397"/>
      <c r="EV397"/>
      <c r="EW397"/>
      <c r="EX397"/>
      <c r="EY397"/>
      <c r="EZ397"/>
      <c r="FA397"/>
      <c r="FB397"/>
      <c r="FC397"/>
      <c r="FD397"/>
      <c r="FE397"/>
      <c r="FF397"/>
      <c r="FG397"/>
      <c r="FH397"/>
      <c r="FI397"/>
      <c r="FJ397"/>
      <c r="FK397"/>
      <c r="FL397"/>
      <c r="FM397"/>
      <c r="FN397"/>
      <c r="FO397"/>
      <c r="FP397"/>
      <c r="FQ397"/>
      <c r="FR397"/>
      <c r="FS397"/>
      <c r="FT397"/>
      <c r="FU397"/>
      <c r="FV397"/>
      <c r="FW397"/>
      <c r="FX397"/>
      <c r="FY397"/>
      <c r="FZ397"/>
      <c r="GA397"/>
      <c r="GB397"/>
      <c r="GC397"/>
      <c r="GD397"/>
      <c r="GE397"/>
      <c r="GF397"/>
      <c r="GG397"/>
      <c r="GH397"/>
      <c r="GI397"/>
      <c r="GJ397"/>
      <c r="GK397"/>
      <c r="GL397"/>
      <c r="GM397"/>
      <c r="GN397"/>
      <c r="GO397"/>
      <c r="GP397"/>
      <c r="GQ397"/>
      <c r="GR397"/>
      <c r="GS397"/>
      <c r="GT397"/>
      <c r="GU397"/>
      <c r="GV397"/>
      <c r="GW397"/>
      <c r="GX397"/>
      <c r="GY397"/>
      <c r="GZ397"/>
      <c r="HA397"/>
      <c r="HB397"/>
      <c r="HC397"/>
      <c r="HD397"/>
      <c r="HE397"/>
      <c r="HF397"/>
      <c r="HG397"/>
      <c r="HH397"/>
      <c r="HI397"/>
      <c r="HJ397"/>
      <c r="HK397"/>
      <c r="HL397"/>
      <c r="HM397"/>
      <c r="HN397"/>
      <c r="HO397"/>
      <c r="HP397"/>
      <c r="HQ397"/>
      <c r="HR397"/>
      <c r="HS397"/>
      <c r="HT397"/>
      <c r="HU397"/>
      <c r="HV397"/>
      <c r="HW397"/>
      <c r="HX397"/>
      <c r="HY397"/>
      <c r="HZ397"/>
      <c r="IA397"/>
      <c r="IB397"/>
      <c r="IC397"/>
      <c r="ID397"/>
      <c r="IE397"/>
      <c r="IF397"/>
      <c r="IG397"/>
      <c r="IH397"/>
      <c r="II397"/>
      <c r="IJ397"/>
      <c r="IK397"/>
      <c r="IL397"/>
      <c r="IM397"/>
      <c r="IN397"/>
      <c r="IO397"/>
      <c r="IP397"/>
      <c r="IQ397"/>
      <c r="IR397"/>
      <c r="IS397"/>
      <c r="IT397"/>
      <c r="IU397"/>
      <c r="IV397"/>
      <c r="IW397"/>
      <c r="IX397"/>
      <c r="IY397"/>
      <c r="IZ397"/>
      <c r="JA397"/>
      <c r="JB397"/>
      <c r="JC397"/>
      <c r="JD397"/>
      <c r="JE397"/>
      <c r="JF397"/>
      <c r="JG397"/>
      <c r="JH397"/>
      <c r="JI397"/>
      <c r="JJ397"/>
      <c r="JK397"/>
      <c r="JL397"/>
      <c r="JM397"/>
      <c r="JN397"/>
      <c r="JO397"/>
      <c r="JP397"/>
      <c r="JQ397"/>
      <c r="JR397"/>
      <c r="JS397"/>
      <c r="JT397"/>
      <c r="JU397"/>
      <c r="JV397"/>
      <c r="JW397"/>
      <c r="JX397"/>
      <c r="JY397"/>
      <c r="JZ397"/>
      <c r="KA397"/>
      <c r="KB397"/>
      <c r="KC397"/>
      <c r="KD397"/>
      <c r="KE397"/>
      <c r="KF397"/>
      <c r="KG397"/>
      <c r="KH397"/>
      <c r="KI397"/>
      <c r="KJ397"/>
      <c r="KK397"/>
      <c r="KL397"/>
      <c r="KM397"/>
      <c r="KN397"/>
      <c r="KO397"/>
      <c r="KP397"/>
      <c r="KQ397"/>
      <c r="KR397"/>
      <c r="KS397"/>
    </row>
    <row r="398" spans="2:305" hidden="1" x14ac:dyDescent="0.25">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c r="EO398"/>
      <c r="EP398"/>
      <c r="EQ398"/>
      <c r="ER398"/>
      <c r="ES398"/>
      <c r="ET398"/>
      <c r="EU398"/>
      <c r="EV398"/>
      <c r="EW398"/>
      <c r="EX398"/>
      <c r="EY398"/>
      <c r="EZ398"/>
      <c r="FA398"/>
      <c r="FB398"/>
      <c r="FC398"/>
      <c r="FD398"/>
      <c r="FE398"/>
      <c r="FF398"/>
      <c r="FG398"/>
      <c r="FH398"/>
      <c r="FI398"/>
      <c r="FJ398"/>
      <c r="FK398"/>
      <c r="FL398"/>
      <c r="FM398"/>
      <c r="FN398"/>
      <c r="FO398"/>
      <c r="FP398"/>
      <c r="FQ398"/>
      <c r="FR398"/>
      <c r="FS398"/>
      <c r="FT398"/>
      <c r="FU398"/>
      <c r="FV398"/>
      <c r="FW398"/>
      <c r="FX398"/>
      <c r="FY398"/>
      <c r="FZ398"/>
      <c r="GA398"/>
      <c r="GB398"/>
      <c r="GC398"/>
      <c r="GD398"/>
      <c r="GE398"/>
      <c r="GF398"/>
      <c r="GG398"/>
      <c r="GH398"/>
      <c r="GI398"/>
      <c r="GJ398"/>
      <c r="GK398"/>
      <c r="GL398"/>
      <c r="GM398"/>
      <c r="GN398"/>
      <c r="GO398"/>
      <c r="GP398"/>
      <c r="GQ398"/>
      <c r="GR398"/>
      <c r="GS398"/>
      <c r="GT398"/>
      <c r="GU398"/>
      <c r="GV398"/>
      <c r="GW398"/>
      <c r="GX398"/>
      <c r="GY398"/>
      <c r="GZ398"/>
      <c r="HA398"/>
      <c r="HB398"/>
      <c r="HC398"/>
      <c r="HD398"/>
      <c r="HE398"/>
      <c r="HF398"/>
      <c r="HG398"/>
      <c r="HH398"/>
      <c r="HI398"/>
      <c r="HJ398"/>
      <c r="HK398"/>
      <c r="HL398"/>
      <c r="HM398"/>
      <c r="HN398"/>
      <c r="HO398"/>
      <c r="HP398"/>
      <c r="HQ398"/>
      <c r="HR398"/>
      <c r="HS398"/>
      <c r="HT398"/>
      <c r="HU398"/>
      <c r="HV398"/>
      <c r="HW398"/>
      <c r="HX398"/>
      <c r="HY398"/>
      <c r="HZ398"/>
      <c r="IA398"/>
      <c r="IB398"/>
      <c r="IC398"/>
      <c r="ID398"/>
      <c r="IE398"/>
      <c r="IF398"/>
      <c r="IG398"/>
      <c r="IH398"/>
      <c r="II398"/>
      <c r="IJ398"/>
      <c r="IK398"/>
      <c r="IL398"/>
      <c r="IM398"/>
      <c r="IN398"/>
      <c r="IO398"/>
      <c r="IP398"/>
      <c r="IQ398"/>
      <c r="IR398"/>
      <c r="IS398"/>
      <c r="IT398"/>
      <c r="IU398"/>
      <c r="IV398"/>
      <c r="IW398"/>
      <c r="IX398"/>
      <c r="IY398"/>
      <c r="IZ398"/>
      <c r="JA398"/>
      <c r="JB398"/>
      <c r="JC398"/>
      <c r="JD398"/>
      <c r="JE398"/>
      <c r="JF398"/>
      <c r="JG398"/>
      <c r="JH398"/>
      <c r="JI398"/>
      <c r="JJ398"/>
      <c r="JK398"/>
      <c r="JL398"/>
      <c r="JM398"/>
      <c r="JN398"/>
      <c r="JO398"/>
      <c r="JP398"/>
      <c r="JQ398"/>
      <c r="JR398"/>
      <c r="JS398"/>
      <c r="JT398"/>
      <c r="JU398"/>
      <c r="JV398"/>
      <c r="JW398"/>
      <c r="JX398"/>
      <c r="JY398"/>
      <c r="JZ398"/>
      <c r="KA398"/>
      <c r="KB398"/>
      <c r="KC398"/>
      <c r="KD398"/>
      <c r="KE398"/>
      <c r="KF398"/>
      <c r="KG398"/>
      <c r="KH398"/>
      <c r="KI398"/>
      <c r="KJ398"/>
      <c r="KK398"/>
      <c r="KL398"/>
      <c r="KM398"/>
      <c r="KN398"/>
      <c r="KO398"/>
      <c r="KP398"/>
      <c r="KQ398"/>
      <c r="KR398"/>
      <c r="KS398"/>
    </row>
    <row r="399" spans="2:305" hidden="1" x14ac:dyDescent="0.25">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c r="EO399"/>
      <c r="EP399"/>
      <c r="EQ399"/>
      <c r="ER399"/>
      <c r="ES399"/>
      <c r="ET399"/>
      <c r="EU399"/>
      <c r="EV399"/>
      <c r="EW399"/>
      <c r="EX399"/>
      <c r="EY399"/>
      <c r="EZ399"/>
      <c r="FA399"/>
      <c r="FB399"/>
      <c r="FC399"/>
      <c r="FD399"/>
      <c r="FE399"/>
      <c r="FF399"/>
      <c r="FG399"/>
      <c r="FH399"/>
      <c r="FI399"/>
      <c r="FJ399"/>
      <c r="FK399"/>
      <c r="FL399"/>
      <c r="FM399"/>
      <c r="FN399"/>
      <c r="FO399"/>
      <c r="FP399"/>
      <c r="FQ399"/>
      <c r="FR399"/>
      <c r="FS399"/>
      <c r="FT399"/>
      <c r="FU399"/>
      <c r="FV399"/>
      <c r="FW399"/>
      <c r="FX399"/>
      <c r="FY399"/>
      <c r="FZ399"/>
      <c r="GA399"/>
      <c r="GB399"/>
      <c r="GC399"/>
      <c r="GD399"/>
      <c r="GE399"/>
      <c r="GF399"/>
      <c r="GG399"/>
      <c r="GH399"/>
      <c r="GI399"/>
      <c r="GJ399"/>
      <c r="GK399"/>
      <c r="GL399"/>
      <c r="GM399"/>
      <c r="GN399"/>
      <c r="GO399"/>
      <c r="GP399"/>
      <c r="GQ399"/>
      <c r="GR399"/>
      <c r="GS399"/>
      <c r="GT399"/>
      <c r="GU399"/>
      <c r="GV399"/>
      <c r="GW399"/>
      <c r="GX399"/>
      <c r="GY399"/>
      <c r="GZ399"/>
      <c r="HA399"/>
      <c r="HB399"/>
      <c r="HC399"/>
      <c r="HD399"/>
      <c r="HE399"/>
      <c r="HF399"/>
      <c r="HG399"/>
      <c r="HH399"/>
      <c r="HI399"/>
      <c r="HJ399"/>
      <c r="HK399"/>
      <c r="HL399"/>
      <c r="HM399"/>
      <c r="HN399"/>
      <c r="HO399"/>
      <c r="HP399"/>
      <c r="HQ399"/>
      <c r="HR399"/>
      <c r="HS399"/>
      <c r="HT399"/>
      <c r="HU399"/>
      <c r="HV399"/>
      <c r="HW399"/>
      <c r="HX399"/>
      <c r="HY399"/>
      <c r="HZ399"/>
      <c r="IA399"/>
      <c r="IB399"/>
      <c r="IC399"/>
      <c r="ID399"/>
      <c r="IE399"/>
      <c r="IF399"/>
      <c r="IG399"/>
      <c r="IH399"/>
      <c r="II399"/>
      <c r="IJ399"/>
      <c r="IK399"/>
      <c r="IL399"/>
      <c r="IM399"/>
      <c r="IN399"/>
      <c r="IO399"/>
      <c r="IP399"/>
      <c r="IQ399"/>
      <c r="IR399"/>
      <c r="IS399"/>
      <c r="IT399"/>
      <c r="IU399"/>
      <c r="IV399"/>
      <c r="IW399"/>
      <c r="IX399"/>
      <c r="IY399"/>
      <c r="IZ399"/>
      <c r="JA399"/>
      <c r="JB399"/>
      <c r="JC399"/>
      <c r="JD399"/>
      <c r="JE399"/>
      <c r="JF399"/>
      <c r="JG399"/>
      <c r="JH399"/>
      <c r="JI399"/>
      <c r="JJ399"/>
      <c r="JK399"/>
      <c r="JL399"/>
      <c r="JM399"/>
      <c r="JN399"/>
      <c r="JO399"/>
      <c r="JP399"/>
      <c r="JQ399"/>
      <c r="JR399"/>
      <c r="JS399"/>
      <c r="JT399"/>
      <c r="JU399"/>
      <c r="JV399"/>
      <c r="JW399"/>
      <c r="JX399"/>
      <c r="JY399"/>
      <c r="JZ399"/>
      <c r="KA399"/>
      <c r="KB399"/>
      <c r="KC399"/>
      <c r="KD399"/>
      <c r="KE399"/>
      <c r="KF399"/>
      <c r="KG399"/>
      <c r="KH399"/>
      <c r="KI399"/>
      <c r="KJ399"/>
      <c r="KK399"/>
      <c r="KL399"/>
      <c r="KM399"/>
      <c r="KN399"/>
      <c r="KO399"/>
      <c r="KP399"/>
      <c r="KQ399"/>
      <c r="KR399"/>
      <c r="KS399"/>
    </row>
    <row r="400" spans="2:305" hidden="1" x14ac:dyDescent="0.25">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c r="EO400"/>
      <c r="EP400"/>
      <c r="EQ400"/>
      <c r="ER400"/>
      <c r="ES400"/>
      <c r="ET400"/>
      <c r="EU400"/>
      <c r="EV400"/>
      <c r="EW400"/>
      <c r="EX400"/>
      <c r="EY400"/>
      <c r="EZ400"/>
      <c r="FA400"/>
      <c r="FB400"/>
      <c r="FC400"/>
      <c r="FD400"/>
      <c r="FE400"/>
      <c r="FF400"/>
      <c r="FG400"/>
      <c r="FH400"/>
      <c r="FI400"/>
      <c r="FJ400"/>
      <c r="FK400"/>
      <c r="FL400"/>
      <c r="FM400"/>
      <c r="FN400"/>
      <c r="FO400"/>
      <c r="FP400"/>
      <c r="FQ400"/>
      <c r="FR400"/>
      <c r="FS400"/>
      <c r="FT400"/>
      <c r="FU400"/>
      <c r="FV400"/>
      <c r="FW400"/>
      <c r="FX400"/>
      <c r="FY400"/>
      <c r="FZ400"/>
      <c r="GA400"/>
      <c r="GB400"/>
      <c r="GC400"/>
      <c r="GD400"/>
      <c r="GE400"/>
      <c r="GF400"/>
      <c r="GG400"/>
      <c r="GH400"/>
      <c r="GI400"/>
      <c r="GJ400"/>
      <c r="GK400"/>
      <c r="GL400"/>
      <c r="GM400"/>
      <c r="GN400"/>
      <c r="GO400"/>
      <c r="GP400"/>
      <c r="GQ400"/>
      <c r="GR400"/>
      <c r="GS400"/>
      <c r="GT400"/>
      <c r="GU400"/>
      <c r="GV400"/>
      <c r="GW400"/>
      <c r="GX400"/>
      <c r="GY400"/>
      <c r="GZ400"/>
      <c r="HA400"/>
      <c r="HB400"/>
      <c r="HC400"/>
      <c r="HD400"/>
      <c r="HE400"/>
      <c r="HF400"/>
      <c r="HG400"/>
      <c r="HH400"/>
      <c r="HI400"/>
      <c r="HJ400"/>
      <c r="HK400"/>
      <c r="HL400"/>
      <c r="HM400"/>
      <c r="HN400"/>
      <c r="HO400"/>
      <c r="HP400"/>
      <c r="HQ400"/>
      <c r="HR400"/>
      <c r="HS400"/>
      <c r="HT400"/>
      <c r="HU400"/>
      <c r="HV400"/>
      <c r="HW400"/>
      <c r="HX400"/>
      <c r="HY400"/>
      <c r="HZ400"/>
      <c r="IA400"/>
      <c r="IB400"/>
      <c r="IC400"/>
      <c r="ID400"/>
      <c r="IE400"/>
      <c r="IF400"/>
      <c r="IG400"/>
      <c r="IH400"/>
      <c r="II400"/>
      <c r="IJ400"/>
      <c r="IK400"/>
      <c r="IL400"/>
      <c r="IM400"/>
      <c r="IN400"/>
      <c r="IO400"/>
      <c r="IP400"/>
      <c r="IQ400"/>
      <c r="IR400"/>
      <c r="IS400"/>
      <c r="IT400"/>
      <c r="IU400"/>
      <c r="IV400"/>
      <c r="IW400"/>
      <c r="IX400"/>
      <c r="IY400"/>
      <c r="IZ400"/>
      <c r="JA400"/>
      <c r="JB400"/>
      <c r="JC400"/>
      <c r="JD400"/>
      <c r="JE400"/>
      <c r="JF400"/>
      <c r="JG400"/>
      <c r="JH400"/>
      <c r="JI400"/>
      <c r="JJ400"/>
      <c r="JK400"/>
      <c r="JL400"/>
      <c r="JM400"/>
      <c r="JN400"/>
      <c r="JO400"/>
      <c r="JP400"/>
      <c r="JQ400"/>
      <c r="JR400"/>
      <c r="JS400"/>
      <c r="JT400"/>
      <c r="JU400"/>
      <c r="JV400"/>
      <c r="JW400"/>
      <c r="JX400"/>
      <c r="JY400"/>
      <c r="JZ400"/>
      <c r="KA400"/>
      <c r="KB400"/>
      <c r="KC400"/>
      <c r="KD400"/>
      <c r="KE400"/>
      <c r="KF400"/>
      <c r="KG400"/>
      <c r="KH400"/>
      <c r="KI400"/>
      <c r="KJ400"/>
      <c r="KK400"/>
      <c r="KL400"/>
      <c r="KM400"/>
      <c r="KN400"/>
      <c r="KO400"/>
      <c r="KP400"/>
      <c r="KQ400"/>
      <c r="KR400"/>
      <c r="KS400"/>
    </row>
    <row r="401" spans="2:305" hidden="1" x14ac:dyDescent="0.25">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c r="EO401"/>
      <c r="EP401"/>
      <c r="EQ401"/>
      <c r="ER401"/>
      <c r="ES401"/>
      <c r="ET401"/>
      <c r="EU401"/>
      <c r="EV401"/>
      <c r="EW401"/>
      <c r="EX401"/>
      <c r="EY401"/>
      <c r="EZ401"/>
      <c r="FA401"/>
      <c r="FB401"/>
      <c r="FC401"/>
      <c r="FD401"/>
      <c r="FE401"/>
      <c r="FF401"/>
      <c r="FG401"/>
      <c r="FH401"/>
      <c r="FI401"/>
      <c r="FJ401"/>
      <c r="FK401"/>
      <c r="FL401"/>
      <c r="FM401"/>
      <c r="FN401"/>
      <c r="FO401"/>
      <c r="FP401"/>
      <c r="FQ401"/>
      <c r="FR401"/>
      <c r="FS401"/>
      <c r="FT401"/>
      <c r="FU401"/>
      <c r="FV401"/>
      <c r="FW401"/>
      <c r="FX401"/>
      <c r="FY401"/>
      <c r="FZ401"/>
      <c r="GA401"/>
      <c r="GB401"/>
      <c r="GC401"/>
      <c r="GD401"/>
      <c r="GE401"/>
      <c r="GF401"/>
      <c r="GG401"/>
      <c r="GH401"/>
      <c r="GI401"/>
      <c r="GJ401"/>
      <c r="GK401"/>
      <c r="GL401"/>
      <c r="GM401"/>
      <c r="GN401"/>
      <c r="GO401"/>
      <c r="GP401"/>
      <c r="GQ401"/>
      <c r="GR401"/>
      <c r="GS401"/>
      <c r="GT401"/>
      <c r="GU401"/>
      <c r="GV401"/>
      <c r="GW401"/>
      <c r="GX401"/>
      <c r="GY401"/>
      <c r="GZ401"/>
      <c r="HA401"/>
      <c r="HB401"/>
      <c r="HC401"/>
      <c r="HD401"/>
      <c r="HE401"/>
      <c r="HF401"/>
      <c r="HG401"/>
      <c r="HH401"/>
      <c r="HI401"/>
      <c r="HJ401"/>
      <c r="HK401"/>
      <c r="HL401"/>
      <c r="HM401"/>
      <c r="HN401"/>
      <c r="HO401"/>
      <c r="HP401"/>
      <c r="HQ401"/>
      <c r="HR401"/>
      <c r="HS401"/>
      <c r="HT401"/>
      <c r="HU401"/>
      <c r="HV401"/>
      <c r="HW401"/>
      <c r="HX401"/>
      <c r="HY401"/>
      <c r="HZ401"/>
      <c r="IA401"/>
      <c r="IB401"/>
      <c r="IC401"/>
      <c r="ID401"/>
      <c r="IE401"/>
      <c r="IF401"/>
      <c r="IG401"/>
      <c r="IH401"/>
      <c r="II401"/>
      <c r="IJ401"/>
      <c r="IK401"/>
      <c r="IL401"/>
      <c r="IM401"/>
      <c r="IN401"/>
      <c r="IO401"/>
      <c r="IP401"/>
      <c r="IQ401"/>
      <c r="IR401"/>
      <c r="IS401"/>
      <c r="IT401"/>
      <c r="IU401"/>
      <c r="IV401"/>
      <c r="IW401"/>
      <c r="IX401"/>
      <c r="IY401"/>
      <c r="IZ401"/>
      <c r="JA401"/>
      <c r="JB401"/>
      <c r="JC401"/>
      <c r="JD401"/>
      <c r="JE401"/>
      <c r="JF401"/>
      <c r="JG401"/>
      <c r="JH401"/>
      <c r="JI401"/>
      <c r="JJ401"/>
      <c r="JK401"/>
      <c r="JL401"/>
      <c r="JM401"/>
      <c r="JN401"/>
      <c r="JO401"/>
      <c r="JP401"/>
      <c r="JQ401"/>
      <c r="JR401"/>
      <c r="JS401"/>
      <c r="JT401"/>
      <c r="JU401"/>
      <c r="JV401"/>
      <c r="JW401"/>
      <c r="JX401"/>
      <c r="JY401"/>
      <c r="JZ401"/>
      <c r="KA401"/>
      <c r="KB401"/>
      <c r="KC401"/>
      <c r="KD401"/>
      <c r="KE401"/>
      <c r="KF401"/>
      <c r="KG401"/>
      <c r="KH401"/>
      <c r="KI401"/>
      <c r="KJ401"/>
      <c r="KK401"/>
      <c r="KL401"/>
      <c r="KM401"/>
      <c r="KN401"/>
      <c r="KO401"/>
      <c r="KP401"/>
      <c r="KQ401"/>
      <c r="KR401"/>
      <c r="KS401"/>
    </row>
    <row r="402" spans="2:305" hidden="1" x14ac:dyDescent="0.25">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c r="EO402"/>
      <c r="EP402"/>
      <c r="EQ402"/>
      <c r="ER402"/>
      <c r="ES402"/>
      <c r="ET402"/>
      <c r="EU402"/>
      <c r="EV402"/>
      <c r="EW402"/>
      <c r="EX402"/>
      <c r="EY402"/>
      <c r="EZ402"/>
      <c r="FA402"/>
      <c r="FB402"/>
      <c r="FC402"/>
      <c r="FD402"/>
      <c r="FE402"/>
      <c r="FF402"/>
      <c r="FG402"/>
      <c r="FH402"/>
      <c r="FI402"/>
      <c r="FJ402"/>
      <c r="FK402"/>
      <c r="FL402"/>
      <c r="FM402"/>
      <c r="FN402"/>
      <c r="FO402"/>
      <c r="FP402"/>
      <c r="FQ402"/>
      <c r="FR402"/>
      <c r="FS402"/>
      <c r="FT402"/>
      <c r="FU402"/>
      <c r="FV402"/>
      <c r="FW402"/>
      <c r="FX402"/>
      <c r="FY402"/>
      <c r="FZ402"/>
      <c r="GA402"/>
      <c r="GB402"/>
      <c r="GC402"/>
      <c r="GD402"/>
      <c r="GE402"/>
      <c r="GF402"/>
      <c r="GG402"/>
      <c r="GH402"/>
      <c r="GI402"/>
      <c r="GJ402"/>
      <c r="GK402"/>
      <c r="GL402"/>
      <c r="GM402"/>
      <c r="GN402"/>
      <c r="GO402"/>
      <c r="GP402"/>
      <c r="GQ402"/>
      <c r="GR402"/>
      <c r="GS402"/>
      <c r="GT402"/>
      <c r="GU402"/>
      <c r="GV402"/>
      <c r="GW402"/>
      <c r="GX402"/>
      <c r="GY402"/>
      <c r="GZ402"/>
      <c r="HA402"/>
      <c r="HB402"/>
      <c r="HC402"/>
      <c r="HD402"/>
      <c r="HE402"/>
      <c r="HF402"/>
      <c r="HG402"/>
      <c r="HH402"/>
      <c r="HI402"/>
      <c r="HJ402"/>
      <c r="HK402"/>
      <c r="HL402"/>
      <c r="HM402"/>
      <c r="HN402"/>
      <c r="HO402"/>
      <c r="HP402"/>
      <c r="HQ402"/>
      <c r="HR402"/>
      <c r="HS402"/>
      <c r="HT402"/>
      <c r="HU402"/>
      <c r="HV402"/>
      <c r="HW402"/>
      <c r="HX402"/>
      <c r="HY402"/>
      <c r="HZ402"/>
      <c r="IA402"/>
      <c r="IB402"/>
      <c r="IC402"/>
      <c r="ID402"/>
      <c r="IE402"/>
      <c r="IF402"/>
      <c r="IG402"/>
      <c r="IH402"/>
      <c r="II402"/>
      <c r="IJ402"/>
      <c r="IK402"/>
      <c r="IL402"/>
      <c r="IM402"/>
      <c r="IN402"/>
      <c r="IO402"/>
      <c r="IP402"/>
      <c r="IQ402"/>
      <c r="IR402"/>
      <c r="IS402"/>
      <c r="IT402"/>
      <c r="IU402"/>
      <c r="IV402"/>
      <c r="IW402"/>
      <c r="IX402"/>
      <c r="IY402"/>
      <c r="IZ402"/>
      <c r="JA402"/>
      <c r="JB402"/>
      <c r="JC402"/>
      <c r="JD402"/>
      <c r="JE402"/>
      <c r="JF402"/>
      <c r="JG402"/>
      <c r="JH402"/>
      <c r="JI402"/>
      <c r="JJ402"/>
      <c r="JK402"/>
      <c r="JL402"/>
      <c r="JM402"/>
      <c r="JN402"/>
      <c r="JO402"/>
      <c r="JP402"/>
      <c r="JQ402"/>
      <c r="JR402"/>
      <c r="JS402"/>
      <c r="JT402"/>
      <c r="JU402"/>
      <c r="JV402"/>
      <c r="JW402"/>
      <c r="JX402"/>
      <c r="JY402"/>
      <c r="JZ402"/>
      <c r="KA402"/>
      <c r="KB402"/>
      <c r="KC402"/>
      <c r="KD402"/>
      <c r="KE402"/>
      <c r="KF402"/>
      <c r="KG402"/>
      <c r="KH402"/>
      <c r="KI402"/>
      <c r="KJ402"/>
      <c r="KK402"/>
      <c r="KL402"/>
      <c r="KM402"/>
      <c r="KN402"/>
      <c r="KO402"/>
      <c r="KP402"/>
      <c r="KQ402"/>
      <c r="KR402"/>
      <c r="KS402"/>
    </row>
    <row r="403" spans="2:305" hidden="1" x14ac:dyDescent="0.25">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c r="EO403"/>
      <c r="EP403"/>
      <c r="EQ403"/>
      <c r="ER403"/>
      <c r="ES403"/>
      <c r="ET403"/>
      <c r="EU403"/>
      <c r="EV403"/>
      <c r="EW403"/>
      <c r="EX403"/>
      <c r="EY403"/>
      <c r="EZ403"/>
      <c r="FA403"/>
      <c r="FB403"/>
      <c r="FC403"/>
      <c r="FD403"/>
      <c r="FE403"/>
      <c r="FF403"/>
      <c r="FG403"/>
      <c r="FH403"/>
      <c r="FI403"/>
      <c r="FJ403"/>
      <c r="FK403"/>
      <c r="FL403"/>
      <c r="FM403"/>
      <c r="FN403"/>
      <c r="FO403"/>
      <c r="FP403"/>
      <c r="FQ403"/>
      <c r="FR403"/>
      <c r="FS403"/>
      <c r="FT403"/>
      <c r="FU403"/>
      <c r="FV403"/>
      <c r="FW403"/>
      <c r="FX403"/>
      <c r="FY403"/>
      <c r="FZ403"/>
      <c r="GA403"/>
      <c r="GB403"/>
      <c r="GC403"/>
      <c r="GD403"/>
      <c r="GE403"/>
      <c r="GF403"/>
      <c r="GG403"/>
      <c r="GH403"/>
      <c r="GI403"/>
      <c r="GJ403"/>
      <c r="GK403"/>
      <c r="GL403"/>
      <c r="GM403"/>
      <c r="GN403"/>
      <c r="GO403"/>
      <c r="GP403"/>
      <c r="GQ403"/>
      <c r="GR403"/>
      <c r="GS403"/>
      <c r="GT403"/>
      <c r="GU403"/>
      <c r="GV403"/>
      <c r="GW403"/>
      <c r="GX403"/>
      <c r="GY403"/>
      <c r="GZ403"/>
      <c r="HA403"/>
      <c r="HB403"/>
      <c r="HC403"/>
      <c r="HD403"/>
      <c r="HE403"/>
      <c r="HF403"/>
      <c r="HG403"/>
      <c r="HH403"/>
      <c r="HI403"/>
      <c r="HJ403"/>
      <c r="HK403"/>
      <c r="HL403"/>
      <c r="HM403"/>
      <c r="HN403"/>
      <c r="HO403"/>
      <c r="HP403"/>
      <c r="HQ403"/>
      <c r="HR403"/>
      <c r="HS403"/>
      <c r="HT403"/>
      <c r="HU403"/>
      <c r="HV403"/>
      <c r="HW403"/>
      <c r="HX403"/>
      <c r="HY403"/>
      <c r="HZ403"/>
      <c r="IA403"/>
      <c r="IB403"/>
      <c r="IC403"/>
      <c r="ID403"/>
      <c r="IE403"/>
      <c r="IF403"/>
      <c r="IG403"/>
      <c r="IH403"/>
      <c r="II403"/>
      <c r="IJ403"/>
      <c r="IK403"/>
      <c r="IL403"/>
      <c r="IM403"/>
      <c r="IN403"/>
      <c r="IO403"/>
      <c r="IP403"/>
      <c r="IQ403"/>
      <c r="IR403"/>
      <c r="IS403"/>
      <c r="IT403"/>
      <c r="IU403"/>
      <c r="IV403"/>
      <c r="IW403"/>
      <c r="IX403"/>
      <c r="IY403"/>
      <c r="IZ403"/>
      <c r="JA403"/>
      <c r="JB403"/>
      <c r="JC403"/>
      <c r="JD403"/>
      <c r="JE403"/>
      <c r="JF403"/>
      <c r="JG403"/>
      <c r="JH403"/>
      <c r="JI403"/>
      <c r="JJ403"/>
      <c r="JK403"/>
      <c r="JL403"/>
      <c r="JM403"/>
      <c r="JN403"/>
      <c r="JO403"/>
      <c r="JP403"/>
      <c r="JQ403"/>
      <c r="JR403"/>
      <c r="JS403"/>
      <c r="JT403"/>
      <c r="JU403"/>
      <c r="JV403"/>
      <c r="JW403"/>
      <c r="JX403"/>
      <c r="JY403"/>
      <c r="JZ403"/>
      <c r="KA403"/>
      <c r="KB403"/>
      <c r="KC403"/>
      <c r="KD403"/>
      <c r="KE403"/>
      <c r="KF403"/>
      <c r="KG403"/>
      <c r="KH403"/>
      <c r="KI403"/>
      <c r="KJ403"/>
      <c r="KK403"/>
      <c r="KL403"/>
      <c r="KM403"/>
      <c r="KN403"/>
      <c r="KO403"/>
      <c r="KP403"/>
      <c r="KQ403"/>
      <c r="KR403"/>
      <c r="KS403"/>
    </row>
    <row r="404" spans="2:305" hidden="1" x14ac:dyDescent="0.25">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c r="EN404"/>
      <c r="EO404"/>
      <c r="EP404"/>
      <c r="EQ404"/>
      <c r="ER404"/>
      <c r="ES404"/>
      <c r="ET404"/>
      <c r="EU404"/>
      <c r="EV404"/>
      <c r="EW404"/>
      <c r="EX404"/>
      <c r="EY404"/>
      <c r="EZ404"/>
      <c r="FA404"/>
      <c r="FB404"/>
      <c r="FC404"/>
      <c r="FD404"/>
      <c r="FE404"/>
      <c r="FF404"/>
      <c r="FG404"/>
      <c r="FH404"/>
      <c r="FI404"/>
      <c r="FJ404"/>
      <c r="FK404"/>
      <c r="FL404"/>
      <c r="FM404"/>
      <c r="FN404"/>
      <c r="FO404"/>
      <c r="FP404"/>
      <c r="FQ404"/>
      <c r="FR404"/>
      <c r="FS404"/>
      <c r="FT404"/>
      <c r="FU404"/>
      <c r="FV404"/>
      <c r="FW404"/>
      <c r="FX404"/>
      <c r="FY404"/>
      <c r="FZ404"/>
      <c r="GA404"/>
      <c r="GB404"/>
      <c r="GC404"/>
      <c r="GD404"/>
      <c r="GE404"/>
      <c r="GF404"/>
      <c r="GG404"/>
      <c r="GH404"/>
      <c r="GI404"/>
      <c r="GJ404"/>
      <c r="GK404"/>
      <c r="GL404"/>
      <c r="GM404"/>
      <c r="GN404"/>
      <c r="GO404"/>
      <c r="GP404"/>
      <c r="GQ404"/>
      <c r="GR404"/>
      <c r="GS404"/>
      <c r="GT404"/>
      <c r="GU404"/>
      <c r="GV404"/>
      <c r="GW404"/>
      <c r="GX404"/>
      <c r="GY404"/>
      <c r="GZ404"/>
      <c r="HA404"/>
      <c r="HB404"/>
      <c r="HC404"/>
      <c r="HD404"/>
      <c r="HE404"/>
      <c r="HF404"/>
      <c r="HG404"/>
      <c r="HH404"/>
      <c r="HI404"/>
      <c r="HJ404"/>
      <c r="HK404"/>
      <c r="HL404"/>
      <c r="HM404"/>
      <c r="HN404"/>
      <c r="HO404"/>
      <c r="HP404"/>
      <c r="HQ404"/>
      <c r="HR404"/>
      <c r="HS404"/>
      <c r="HT404"/>
      <c r="HU404"/>
      <c r="HV404"/>
      <c r="HW404"/>
      <c r="HX404"/>
      <c r="HY404"/>
      <c r="HZ404"/>
      <c r="IA404"/>
      <c r="IB404"/>
      <c r="IC404"/>
      <c r="ID404"/>
      <c r="IE404"/>
      <c r="IF404"/>
      <c r="IG404"/>
      <c r="IH404"/>
      <c r="II404"/>
      <c r="IJ404"/>
      <c r="IK404"/>
      <c r="IL404"/>
      <c r="IM404"/>
      <c r="IN404"/>
      <c r="IO404"/>
      <c r="IP404"/>
      <c r="IQ404"/>
      <c r="IR404"/>
      <c r="IS404"/>
      <c r="IT404"/>
      <c r="IU404"/>
      <c r="IV404"/>
      <c r="IW404"/>
      <c r="IX404"/>
      <c r="IY404"/>
      <c r="IZ404"/>
      <c r="JA404"/>
      <c r="JB404"/>
      <c r="JC404"/>
      <c r="JD404"/>
      <c r="JE404"/>
      <c r="JF404"/>
      <c r="JG404"/>
      <c r="JH404"/>
      <c r="JI404"/>
      <c r="JJ404"/>
      <c r="JK404"/>
      <c r="JL404"/>
      <c r="JM404"/>
      <c r="JN404"/>
      <c r="JO404"/>
      <c r="JP404"/>
      <c r="JQ404"/>
      <c r="JR404"/>
      <c r="JS404"/>
      <c r="JT404"/>
      <c r="JU404"/>
      <c r="JV404"/>
      <c r="JW404"/>
      <c r="JX404"/>
      <c r="JY404"/>
      <c r="JZ404"/>
      <c r="KA404"/>
      <c r="KB404"/>
      <c r="KC404"/>
      <c r="KD404"/>
      <c r="KE404"/>
      <c r="KF404"/>
      <c r="KG404"/>
      <c r="KH404"/>
      <c r="KI404"/>
      <c r="KJ404"/>
      <c r="KK404"/>
      <c r="KL404"/>
      <c r="KM404"/>
      <c r="KN404"/>
      <c r="KO404"/>
      <c r="KP404"/>
      <c r="KQ404"/>
      <c r="KR404"/>
      <c r="KS404"/>
    </row>
    <row r="405" spans="2:305" hidden="1" x14ac:dyDescent="0.2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c r="EN405"/>
      <c r="EO405"/>
      <c r="EP405"/>
      <c r="EQ405"/>
      <c r="ER405"/>
      <c r="ES405"/>
      <c r="ET405"/>
      <c r="EU405"/>
      <c r="EV405"/>
      <c r="EW405"/>
      <c r="EX405"/>
      <c r="EY405"/>
      <c r="EZ405"/>
      <c r="FA405"/>
      <c r="FB405"/>
      <c r="FC405"/>
      <c r="FD405"/>
      <c r="FE405"/>
      <c r="FF405"/>
      <c r="FG405"/>
      <c r="FH405"/>
      <c r="FI405"/>
      <c r="FJ405"/>
      <c r="FK405"/>
      <c r="FL405"/>
      <c r="FM405"/>
      <c r="FN405"/>
      <c r="FO405"/>
      <c r="FP405"/>
      <c r="FQ405"/>
      <c r="FR405"/>
      <c r="FS405"/>
      <c r="FT405"/>
      <c r="FU405"/>
      <c r="FV405"/>
      <c r="FW405"/>
      <c r="FX405"/>
      <c r="FY405"/>
      <c r="FZ405"/>
      <c r="GA405"/>
      <c r="GB405"/>
      <c r="GC405"/>
      <c r="GD405"/>
      <c r="GE405"/>
      <c r="GF405"/>
      <c r="GG405"/>
      <c r="GH405"/>
      <c r="GI405"/>
      <c r="GJ405"/>
      <c r="GK405"/>
      <c r="GL405"/>
      <c r="GM405"/>
      <c r="GN405"/>
      <c r="GO405"/>
      <c r="GP405"/>
      <c r="GQ405"/>
      <c r="GR405"/>
      <c r="GS405"/>
      <c r="GT405"/>
      <c r="GU405"/>
      <c r="GV405"/>
      <c r="GW405"/>
      <c r="GX405"/>
      <c r="GY405"/>
      <c r="GZ405"/>
      <c r="HA405"/>
      <c r="HB405"/>
      <c r="HC405"/>
      <c r="HD405"/>
      <c r="HE405"/>
      <c r="HF405"/>
      <c r="HG405"/>
      <c r="HH405"/>
      <c r="HI405"/>
      <c r="HJ405"/>
      <c r="HK405"/>
      <c r="HL405"/>
      <c r="HM405"/>
      <c r="HN405"/>
      <c r="HO405"/>
      <c r="HP405"/>
      <c r="HQ405"/>
      <c r="HR405"/>
      <c r="HS405"/>
      <c r="HT405"/>
      <c r="HU405"/>
      <c r="HV405"/>
      <c r="HW405"/>
      <c r="HX405"/>
      <c r="HY405"/>
      <c r="HZ405"/>
      <c r="IA405"/>
      <c r="IB405"/>
      <c r="IC405"/>
      <c r="ID405"/>
      <c r="IE405"/>
      <c r="IF405"/>
      <c r="IG405"/>
      <c r="IH405"/>
      <c r="II405"/>
      <c r="IJ405"/>
      <c r="IK405"/>
      <c r="IL405"/>
      <c r="IM405"/>
      <c r="IN405"/>
      <c r="IO405"/>
      <c r="IP405"/>
      <c r="IQ405"/>
      <c r="IR405"/>
      <c r="IS405"/>
      <c r="IT405"/>
      <c r="IU405"/>
      <c r="IV405"/>
      <c r="IW405"/>
      <c r="IX405"/>
      <c r="IY405"/>
      <c r="IZ405"/>
      <c r="JA405"/>
      <c r="JB405"/>
      <c r="JC405"/>
      <c r="JD405"/>
      <c r="JE405"/>
      <c r="JF405"/>
      <c r="JG405"/>
      <c r="JH405"/>
      <c r="JI405"/>
      <c r="JJ405"/>
      <c r="JK405"/>
      <c r="JL405"/>
      <c r="JM405"/>
      <c r="JN405"/>
      <c r="JO405"/>
      <c r="JP405"/>
      <c r="JQ405"/>
      <c r="JR405"/>
      <c r="JS405"/>
      <c r="JT405"/>
      <c r="JU405"/>
      <c r="JV405"/>
      <c r="JW405"/>
      <c r="JX405"/>
      <c r="JY405"/>
      <c r="JZ405"/>
      <c r="KA405"/>
      <c r="KB405"/>
      <c r="KC405"/>
      <c r="KD405"/>
      <c r="KE405"/>
      <c r="KF405"/>
      <c r="KG405"/>
      <c r="KH405"/>
      <c r="KI405"/>
      <c r="KJ405"/>
      <c r="KK405"/>
      <c r="KL405"/>
      <c r="KM405"/>
      <c r="KN405"/>
      <c r="KO405"/>
      <c r="KP405"/>
      <c r="KQ405"/>
      <c r="KR405"/>
      <c r="KS405"/>
    </row>
    <row r="406" spans="2:305" hidden="1" x14ac:dyDescent="0.25">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c r="EN406"/>
      <c r="EO406"/>
      <c r="EP406"/>
      <c r="EQ406"/>
      <c r="ER406"/>
      <c r="ES406"/>
      <c r="ET406"/>
      <c r="EU406"/>
      <c r="EV406"/>
      <c r="EW406"/>
      <c r="EX406"/>
      <c r="EY406"/>
      <c r="EZ406"/>
      <c r="FA406"/>
      <c r="FB406"/>
      <c r="FC406"/>
      <c r="FD406"/>
      <c r="FE406"/>
      <c r="FF406"/>
      <c r="FG406"/>
      <c r="FH406"/>
      <c r="FI406"/>
      <c r="FJ406"/>
      <c r="FK406"/>
      <c r="FL406"/>
      <c r="FM406"/>
      <c r="FN406"/>
      <c r="FO406"/>
      <c r="FP406"/>
      <c r="FQ406"/>
      <c r="FR406"/>
      <c r="FS406"/>
      <c r="FT406"/>
      <c r="FU406"/>
      <c r="FV406"/>
      <c r="FW406"/>
      <c r="FX406"/>
      <c r="FY406"/>
      <c r="FZ406"/>
      <c r="GA406"/>
      <c r="GB406"/>
      <c r="GC406"/>
      <c r="GD406"/>
      <c r="GE406"/>
      <c r="GF406"/>
      <c r="GG406"/>
      <c r="GH406"/>
      <c r="GI406"/>
      <c r="GJ406"/>
      <c r="GK406"/>
      <c r="GL406"/>
      <c r="GM406"/>
      <c r="GN406"/>
      <c r="GO406"/>
      <c r="GP406"/>
      <c r="GQ406"/>
      <c r="GR406"/>
      <c r="GS406"/>
      <c r="GT406"/>
      <c r="GU406"/>
      <c r="GV406"/>
      <c r="GW406"/>
      <c r="GX406"/>
      <c r="GY406"/>
      <c r="GZ406"/>
      <c r="HA406"/>
      <c r="HB406"/>
      <c r="HC406"/>
      <c r="HD406"/>
      <c r="HE406"/>
      <c r="HF406"/>
      <c r="HG406"/>
      <c r="HH406"/>
      <c r="HI406"/>
      <c r="HJ406"/>
      <c r="HK406"/>
      <c r="HL406"/>
      <c r="HM406"/>
      <c r="HN406"/>
      <c r="HO406"/>
      <c r="HP406"/>
      <c r="HQ406"/>
      <c r="HR406"/>
      <c r="HS406"/>
      <c r="HT406"/>
      <c r="HU406"/>
      <c r="HV406"/>
      <c r="HW406"/>
      <c r="HX406"/>
      <c r="HY406"/>
      <c r="HZ406"/>
      <c r="IA406"/>
      <c r="IB406"/>
      <c r="IC406"/>
      <c r="ID406"/>
      <c r="IE406"/>
      <c r="IF406"/>
      <c r="IG406"/>
      <c r="IH406"/>
      <c r="II406"/>
      <c r="IJ406"/>
      <c r="IK406"/>
      <c r="IL406"/>
      <c r="IM406"/>
      <c r="IN406"/>
      <c r="IO406"/>
      <c r="IP406"/>
      <c r="IQ406"/>
      <c r="IR406"/>
      <c r="IS406"/>
      <c r="IT406"/>
      <c r="IU406"/>
      <c r="IV406"/>
      <c r="IW406"/>
      <c r="IX406"/>
      <c r="IY406"/>
      <c r="IZ406"/>
      <c r="JA406"/>
      <c r="JB406"/>
      <c r="JC406"/>
      <c r="JD406"/>
      <c r="JE406"/>
      <c r="JF406"/>
      <c r="JG406"/>
      <c r="JH406"/>
      <c r="JI406"/>
      <c r="JJ406"/>
      <c r="JK406"/>
      <c r="JL406"/>
      <c r="JM406"/>
      <c r="JN406"/>
      <c r="JO406"/>
      <c r="JP406"/>
      <c r="JQ406"/>
      <c r="JR406"/>
      <c r="JS406"/>
      <c r="JT406"/>
      <c r="JU406"/>
      <c r="JV406"/>
      <c r="JW406"/>
      <c r="JX406"/>
      <c r="JY406"/>
      <c r="JZ406"/>
      <c r="KA406"/>
      <c r="KB406"/>
      <c r="KC406"/>
      <c r="KD406"/>
      <c r="KE406"/>
      <c r="KF406"/>
      <c r="KG406"/>
      <c r="KH406"/>
      <c r="KI406"/>
      <c r="KJ406"/>
      <c r="KK406"/>
      <c r="KL406"/>
      <c r="KM406"/>
      <c r="KN406"/>
      <c r="KO406"/>
      <c r="KP406"/>
      <c r="KQ406"/>
      <c r="KR406"/>
      <c r="KS406"/>
    </row>
    <row r="407" spans="2:305" hidden="1" x14ac:dyDescent="0.25">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c r="EN407"/>
      <c r="EO407"/>
      <c r="EP407"/>
      <c r="EQ407"/>
      <c r="ER407"/>
      <c r="ES407"/>
      <c r="ET407"/>
      <c r="EU407"/>
      <c r="EV407"/>
      <c r="EW407"/>
      <c r="EX407"/>
      <c r="EY407"/>
      <c r="EZ407"/>
      <c r="FA407"/>
      <c r="FB407"/>
      <c r="FC407"/>
      <c r="FD407"/>
      <c r="FE407"/>
      <c r="FF407"/>
      <c r="FG407"/>
      <c r="FH407"/>
      <c r="FI407"/>
      <c r="FJ407"/>
      <c r="FK407"/>
      <c r="FL407"/>
      <c r="FM407"/>
      <c r="FN407"/>
      <c r="FO407"/>
      <c r="FP407"/>
      <c r="FQ407"/>
      <c r="FR407"/>
      <c r="FS407"/>
      <c r="FT407"/>
      <c r="FU407"/>
      <c r="FV407"/>
      <c r="FW407"/>
      <c r="FX407"/>
      <c r="FY407"/>
      <c r="FZ407"/>
      <c r="GA407"/>
      <c r="GB407"/>
      <c r="GC407"/>
      <c r="GD407"/>
      <c r="GE407"/>
      <c r="GF407"/>
      <c r="GG407"/>
      <c r="GH407"/>
      <c r="GI407"/>
      <c r="GJ407"/>
      <c r="GK407"/>
      <c r="GL407"/>
      <c r="GM407"/>
      <c r="GN407"/>
      <c r="GO407"/>
      <c r="GP407"/>
      <c r="GQ407"/>
      <c r="GR407"/>
      <c r="GS407"/>
      <c r="GT407"/>
      <c r="GU407"/>
      <c r="GV407"/>
      <c r="GW407"/>
      <c r="GX407"/>
      <c r="GY407"/>
      <c r="GZ407"/>
      <c r="HA407"/>
      <c r="HB407"/>
      <c r="HC407"/>
      <c r="HD407"/>
      <c r="HE407"/>
      <c r="HF407"/>
      <c r="HG407"/>
      <c r="HH407"/>
      <c r="HI407"/>
      <c r="HJ407"/>
      <c r="HK407"/>
      <c r="HL407"/>
      <c r="HM407"/>
      <c r="HN407"/>
      <c r="HO407"/>
      <c r="HP407"/>
      <c r="HQ407"/>
      <c r="HR407"/>
      <c r="HS407"/>
      <c r="HT407"/>
      <c r="HU407"/>
      <c r="HV407"/>
      <c r="HW407"/>
      <c r="HX407"/>
      <c r="HY407"/>
      <c r="HZ407"/>
      <c r="IA407"/>
      <c r="IB407"/>
      <c r="IC407"/>
      <c r="ID407"/>
      <c r="IE407"/>
      <c r="IF407"/>
      <c r="IG407"/>
      <c r="IH407"/>
      <c r="II407"/>
      <c r="IJ407"/>
      <c r="IK407"/>
      <c r="IL407"/>
      <c r="IM407"/>
      <c r="IN407"/>
      <c r="IO407"/>
      <c r="IP407"/>
      <c r="IQ407"/>
      <c r="IR407"/>
      <c r="IS407"/>
      <c r="IT407"/>
      <c r="IU407"/>
      <c r="IV407"/>
      <c r="IW407"/>
      <c r="IX407"/>
      <c r="IY407"/>
      <c r="IZ407"/>
      <c r="JA407"/>
      <c r="JB407"/>
      <c r="JC407"/>
      <c r="JD407"/>
      <c r="JE407"/>
      <c r="JF407"/>
      <c r="JG407"/>
      <c r="JH407"/>
      <c r="JI407"/>
      <c r="JJ407"/>
      <c r="JK407"/>
      <c r="JL407"/>
      <c r="JM407"/>
      <c r="JN407"/>
      <c r="JO407"/>
      <c r="JP407"/>
      <c r="JQ407"/>
      <c r="JR407"/>
      <c r="JS407"/>
      <c r="JT407"/>
      <c r="JU407"/>
      <c r="JV407"/>
      <c r="JW407"/>
      <c r="JX407"/>
      <c r="JY407"/>
      <c r="JZ407"/>
      <c r="KA407"/>
      <c r="KB407"/>
      <c r="KC407"/>
      <c r="KD407"/>
      <c r="KE407"/>
      <c r="KF407"/>
      <c r="KG407"/>
      <c r="KH407"/>
      <c r="KI407"/>
      <c r="KJ407"/>
      <c r="KK407"/>
      <c r="KL407"/>
      <c r="KM407"/>
      <c r="KN407"/>
      <c r="KO407"/>
      <c r="KP407"/>
      <c r="KQ407"/>
      <c r="KR407"/>
      <c r="KS407"/>
    </row>
    <row r="408" spans="2:305" hidden="1" x14ac:dyDescent="0.25">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c r="EN408"/>
      <c r="EO408"/>
      <c r="EP408"/>
      <c r="EQ408"/>
      <c r="ER408"/>
      <c r="ES408"/>
      <c r="ET408"/>
      <c r="EU408"/>
      <c r="EV408"/>
      <c r="EW408"/>
      <c r="EX408"/>
      <c r="EY408"/>
      <c r="EZ408"/>
      <c r="FA408"/>
      <c r="FB408"/>
      <c r="FC408"/>
      <c r="FD408"/>
      <c r="FE408"/>
      <c r="FF408"/>
      <c r="FG408"/>
      <c r="FH408"/>
      <c r="FI408"/>
      <c r="FJ408"/>
      <c r="FK408"/>
      <c r="FL408"/>
      <c r="FM408"/>
      <c r="FN408"/>
      <c r="FO408"/>
      <c r="FP408"/>
      <c r="FQ408"/>
      <c r="FR408"/>
      <c r="FS408"/>
      <c r="FT408"/>
      <c r="FU408"/>
      <c r="FV408"/>
      <c r="FW408"/>
      <c r="FX408"/>
      <c r="FY408"/>
      <c r="FZ408"/>
      <c r="GA408"/>
      <c r="GB408"/>
      <c r="GC408"/>
      <c r="GD408"/>
      <c r="GE408"/>
      <c r="GF408"/>
      <c r="GG408"/>
      <c r="GH408"/>
      <c r="GI408"/>
      <c r="GJ408"/>
      <c r="GK408"/>
      <c r="GL408"/>
      <c r="GM408"/>
      <c r="GN408"/>
      <c r="GO408"/>
      <c r="GP408"/>
      <c r="GQ408"/>
      <c r="GR408"/>
      <c r="GS408"/>
      <c r="GT408"/>
      <c r="GU408"/>
      <c r="GV408"/>
      <c r="GW408"/>
      <c r="GX408"/>
      <c r="GY408"/>
      <c r="GZ408"/>
      <c r="HA408"/>
      <c r="HB408"/>
      <c r="HC408"/>
      <c r="HD408"/>
      <c r="HE408"/>
      <c r="HF408"/>
      <c r="HG408"/>
      <c r="HH408"/>
      <c r="HI408"/>
      <c r="HJ408"/>
      <c r="HK408"/>
      <c r="HL408"/>
      <c r="HM408"/>
      <c r="HN408"/>
      <c r="HO408"/>
      <c r="HP408"/>
      <c r="HQ408"/>
      <c r="HR408"/>
      <c r="HS408"/>
      <c r="HT408"/>
      <c r="HU408"/>
      <c r="HV408"/>
      <c r="HW408"/>
      <c r="HX408"/>
      <c r="HY408"/>
      <c r="HZ408"/>
      <c r="IA408"/>
      <c r="IB408"/>
      <c r="IC408"/>
      <c r="ID408"/>
      <c r="IE408"/>
      <c r="IF408"/>
      <c r="IG408"/>
      <c r="IH408"/>
      <c r="II408"/>
      <c r="IJ408"/>
      <c r="IK408"/>
      <c r="IL408"/>
      <c r="IM408"/>
      <c r="IN408"/>
      <c r="IO408"/>
      <c r="IP408"/>
      <c r="IQ408"/>
      <c r="IR408"/>
      <c r="IS408"/>
      <c r="IT408"/>
      <c r="IU408"/>
      <c r="IV408"/>
      <c r="IW408"/>
      <c r="IX408"/>
      <c r="IY408"/>
      <c r="IZ408"/>
      <c r="JA408"/>
      <c r="JB408"/>
      <c r="JC408"/>
      <c r="JD408"/>
      <c r="JE408"/>
      <c r="JF408"/>
      <c r="JG408"/>
      <c r="JH408"/>
      <c r="JI408"/>
      <c r="JJ408"/>
      <c r="JK408"/>
      <c r="JL408"/>
      <c r="JM408"/>
      <c r="JN408"/>
      <c r="JO408"/>
      <c r="JP408"/>
      <c r="JQ408"/>
      <c r="JR408"/>
      <c r="JS408"/>
      <c r="JT408"/>
      <c r="JU408"/>
      <c r="JV408"/>
      <c r="JW408"/>
      <c r="JX408"/>
      <c r="JY408"/>
      <c r="JZ408"/>
      <c r="KA408"/>
      <c r="KB408"/>
      <c r="KC408"/>
      <c r="KD408"/>
      <c r="KE408"/>
      <c r="KF408"/>
      <c r="KG408"/>
      <c r="KH408"/>
      <c r="KI408"/>
      <c r="KJ408"/>
      <c r="KK408"/>
      <c r="KL408"/>
      <c r="KM408"/>
      <c r="KN408"/>
      <c r="KO408"/>
      <c r="KP408"/>
      <c r="KQ408"/>
      <c r="KR408"/>
      <c r="KS408"/>
    </row>
    <row r="409" spans="2:305" hidden="1" x14ac:dyDescent="0.25">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c r="EN409"/>
      <c r="EO409"/>
      <c r="EP409"/>
      <c r="EQ409"/>
      <c r="ER409"/>
      <c r="ES409"/>
      <c r="ET409"/>
      <c r="EU409"/>
      <c r="EV409"/>
      <c r="EW409"/>
      <c r="EX409"/>
      <c r="EY409"/>
      <c r="EZ409"/>
      <c r="FA409"/>
      <c r="FB409"/>
      <c r="FC409"/>
      <c r="FD409"/>
      <c r="FE409"/>
      <c r="FF409"/>
      <c r="FG409"/>
      <c r="FH409"/>
      <c r="FI409"/>
      <c r="FJ409"/>
      <c r="FK409"/>
      <c r="FL409"/>
      <c r="FM409"/>
      <c r="FN409"/>
      <c r="FO409"/>
      <c r="FP409"/>
      <c r="FQ409"/>
      <c r="FR409"/>
      <c r="FS409"/>
      <c r="FT409"/>
      <c r="FU409"/>
      <c r="FV409"/>
      <c r="FW409"/>
      <c r="FX409"/>
      <c r="FY409"/>
      <c r="FZ409"/>
      <c r="GA409"/>
      <c r="GB409"/>
      <c r="GC409"/>
      <c r="GD409"/>
      <c r="GE409"/>
      <c r="GF409"/>
      <c r="GG409"/>
      <c r="GH409"/>
      <c r="GI409"/>
      <c r="GJ409"/>
      <c r="GK409"/>
      <c r="GL409"/>
      <c r="GM409"/>
      <c r="GN409"/>
      <c r="GO409"/>
      <c r="GP409"/>
      <c r="GQ409"/>
      <c r="GR409"/>
      <c r="GS409"/>
      <c r="GT409"/>
      <c r="GU409"/>
      <c r="GV409"/>
      <c r="GW409"/>
      <c r="GX409"/>
      <c r="GY409"/>
      <c r="GZ409"/>
      <c r="HA409"/>
      <c r="HB409"/>
      <c r="HC409"/>
      <c r="HD409"/>
      <c r="HE409"/>
      <c r="HF409"/>
      <c r="HG409"/>
      <c r="HH409"/>
      <c r="HI409"/>
      <c r="HJ409"/>
      <c r="HK409"/>
      <c r="HL409"/>
      <c r="HM409"/>
      <c r="HN409"/>
      <c r="HO409"/>
      <c r="HP409"/>
      <c r="HQ409"/>
      <c r="HR409"/>
      <c r="HS409"/>
      <c r="HT409"/>
      <c r="HU409"/>
      <c r="HV409"/>
      <c r="HW409"/>
      <c r="HX409"/>
      <c r="HY409"/>
      <c r="HZ409"/>
      <c r="IA409"/>
      <c r="IB409"/>
      <c r="IC409"/>
      <c r="ID409"/>
      <c r="IE409"/>
      <c r="IF409"/>
      <c r="IG409"/>
      <c r="IH409"/>
      <c r="II409"/>
      <c r="IJ409"/>
      <c r="IK409"/>
      <c r="IL409"/>
      <c r="IM409"/>
      <c r="IN409"/>
      <c r="IO409"/>
      <c r="IP409"/>
      <c r="IQ409"/>
      <c r="IR409"/>
      <c r="IS409"/>
      <c r="IT409"/>
      <c r="IU409"/>
      <c r="IV409"/>
      <c r="IW409"/>
      <c r="IX409"/>
      <c r="IY409"/>
      <c r="IZ409"/>
      <c r="JA409"/>
      <c r="JB409"/>
      <c r="JC409"/>
      <c r="JD409"/>
      <c r="JE409"/>
      <c r="JF409"/>
      <c r="JG409"/>
      <c r="JH409"/>
      <c r="JI409"/>
      <c r="JJ409"/>
      <c r="JK409"/>
      <c r="JL409"/>
      <c r="JM409"/>
      <c r="JN409"/>
      <c r="JO409"/>
      <c r="JP409"/>
      <c r="JQ409"/>
      <c r="JR409"/>
      <c r="JS409"/>
      <c r="JT409"/>
      <c r="JU409"/>
      <c r="JV409"/>
      <c r="JW409"/>
      <c r="JX409"/>
      <c r="JY409"/>
      <c r="JZ409"/>
      <c r="KA409"/>
      <c r="KB409"/>
      <c r="KC409"/>
      <c r="KD409"/>
      <c r="KE409"/>
      <c r="KF409"/>
      <c r="KG409"/>
      <c r="KH409"/>
      <c r="KI409"/>
      <c r="KJ409"/>
      <c r="KK409"/>
      <c r="KL409"/>
      <c r="KM409"/>
      <c r="KN409"/>
      <c r="KO409"/>
      <c r="KP409"/>
      <c r="KQ409"/>
      <c r="KR409"/>
      <c r="KS409"/>
    </row>
    <row r="410" spans="2:305" hidden="1" x14ac:dyDescent="0.25">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c r="EN410"/>
      <c r="EO410"/>
      <c r="EP410"/>
      <c r="EQ410"/>
      <c r="ER410"/>
      <c r="ES410"/>
      <c r="ET410"/>
      <c r="EU410"/>
      <c r="EV410"/>
      <c r="EW410"/>
      <c r="EX410"/>
      <c r="EY410"/>
      <c r="EZ410"/>
      <c r="FA410"/>
      <c r="FB410"/>
      <c r="FC410"/>
      <c r="FD410"/>
      <c r="FE410"/>
      <c r="FF410"/>
      <c r="FG410"/>
      <c r="FH410"/>
      <c r="FI410"/>
      <c r="FJ410"/>
      <c r="FK410"/>
      <c r="FL410"/>
      <c r="FM410"/>
      <c r="FN410"/>
      <c r="FO410"/>
      <c r="FP410"/>
      <c r="FQ410"/>
      <c r="FR410"/>
      <c r="FS410"/>
      <c r="FT410"/>
      <c r="FU410"/>
      <c r="FV410"/>
      <c r="FW410"/>
      <c r="FX410"/>
      <c r="FY410"/>
      <c r="FZ410"/>
      <c r="GA410"/>
      <c r="GB410"/>
      <c r="GC410"/>
      <c r="GD410"/>
      <c r="GE410"/>
      <c r="GF410"/>
      <c r="GG410"/>
      <c r="GH410"/>
      <c r="GI410"/>
      <c r="GJ410"/>
      <c r="GK410"/>
      <c r="GL410"/>
      <c r="GM410"/>
      <c r="GN410"/>
      <c r="GO410"/>
      <c r="GP410"/>
      <c r="GQ410"/>
      <c r="GR410"/>
      <c r="GS410"/>
      <c r="GT410"/>
      <c r="GU410"/>
      <c r="GV410"/>
      <c r="GW410"/>
      <c r="GX410"/>
      <c r="GY410"/>
      <c r="GZ410"/>
      <c r="HA410"/>
      <c r="HB410"/>
      <c r="HC410"/>
      <c r="HD410"/>
      <c r="HE410"/>
      <c r="HF410"/>
      <c r="HG410"/>
      <c r="HH410"/>
      <c r="HI410"/>
      <c r="HJ410"/>
      <c r="HK410"/>
      <c r="HL410"/>
      <c r="HM410"/>
      <c r="HN410"/>
      <c r="HO410"/>
      <c r="HP410"/>
      <c r="HQ410"/>
      <c r="HR410"/>
      <c r="HS410"/>
      <c r="HT410"/>
      <c r="HU410"/>
      <c r="HV410"/>
      <c r="HW410"/>
      <c r="HX410"/>
      <c r="HY410"/>
      <c r="HZ410"/>
      <c r="IA410"/>
      <c r="IB410"/>
      <c r="IC410"/>
      <c r="ID410"/>
      <c r="IE410"/>
      <c r="IF410"/>
      <c r="IG410"/>
      <c r="IH410"/>
      <c r="II410"/>
      <c r="IJ410"/>
      <c r="IK410"/>
      <c r="IL410"/>
      <c r="IM410"/>
      <c r="IN410"/>
      <c r="IO410"/>
      <c r="IP410"/>
      <c r="IQ410"/>
      <c r="IR410"/>
      <c r="IS410"/>
      <c r="IT410"/>
      <c r="IU410"/>
      <c r="IV410"/>
      <c r="IW410"/>
      <c r="IX410"/>
      <c r="IY410"/>
      <c r="IZ410"/>
      <c r="JA410"/>
      <c r="JB410"/>
      <c r="JC410"/>
      <c r="JD410"/>
      <c r="JE410"/>
      <c r="JF410"/>
      <c r="JG410"/>
      <c r="JH410"/>
      <c r="JI410"/>
      <c r="JJ410"/>
      <c r="JK410"/>
      <c r="JL410"/>
      <c r="JM410"/>
      <c r="JN410"/>
      <c r="JO410"/>
      <c r="JP410"/>
      <c r="JQ410"/>
      <c r="JR410"/>
      <c r="JS410"/>
      <c r="JT410"/>
      <c r="JU410"/>
      <c r="JV410"/>
      <c r="JW410"/>
      <c r="JX410"/>
      <c r="JY410"/>
      <c r="JZ410"/>
      <c r="KA410"/>
      <c r="KB410"/>
      <c r="KC410"/>
      <c r="KD410"/>
      <c r="KE410"/>
      <c r="KF410"/>
      <c r="KG410"/>
      <c r="KH410"/>
      <c r="KI410"/>
      <c r="KJ410"/>
      <c r="KK410"/>
      <c r="KL410"/>
      <c r="KM410"/>
      <c r="KN410"/>
      <c r="KO410"/>
      <c r="KP410"/>
      <c r="KQ410"/>
      <c r="KR410"/>
      <c r="KS410"/>
    </row>
    <row r="411" spans="2:305" hidden="1" x14ac:dyDescent="0.25">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c r="EN411"/>
      <c r="EO411"/>
      <c r="EP411"/>
      <c r="EQ411"/>
      <c r="ER411"/>
      <c r="ES411"/>
      <c r="ET411"/>
      <c r="EU411"/>
      <c r="EV411"/>
      <c r="EW411"/>
      <c r="EX411"/>
      <c r="EY411"/>
      <c r="EZ411"/>
      <c r="FA411"/>
      <c r="FB411"/>
      <c r="FC411"/>
      <c r="FD411"/>
      <c r="FE411"/>
      <c r="FF411"/>
      <c r="FG411"/>
      <c r="FH411"/>
      <c r="FI411"/>
      <c r="FJ411"/>
      <c r="FK411"/>
      <c r="FL411"/>
      <c r="FM411"/>
      <c r="FN411"/>
      <c r="FO411"/>
      <c r="FP411"/>
      <c r="FQ411"/>
      <c r="FR411"/>
      <c r="FS411"/>
      <c r="FT411"/>
      <c r="FU411"/>
      <c r="FV411"/>
      <c r="FW411"/>
      <c r="FX411"/>
      <c r="FY411"/>
      <c r="FZ411"/>
      <c r="GA411"/>
      <c r="GB411"/>
      <c r="GC411"/>
      <c r="GD411"/>
      <c r="GE411"/>
      <c r="GF411"/>
      <c r="GG411"/>
      <c r="GH411"/>
      <c r="GI411"/>
      <c r="GJ411"/>
      <c r="GK411"/>
      <c r="GL411"/>
      <c r="GM411"/>
      <c r="GN411"/>
      <c r="GO411"/>
      <c r="GP411"/>
      <c r="GQ411"/>
      <c r="GR411"/>
      <c r="GS411"/>
      <c r="GT411"/>
      <c r="GU411"/>
      <c r="GV411"/>
      <c r="GW411"/>
      <c r="GX411"/>
      <c r="GY411"/>
      <c r="GZ411"/>
      <c r="HA411"/>
      <c r="HB411"/>
      <c r="HC411"/>
      <c r="HD411"/>
      <c r="HE411"/>
      <c r="HF411"/>
      <c r="HG411"/>
      <c r="HH411"/>
      <c r="HI411"/>
      <c r="HJ411"/>
      <c r="HK411"/>
      <c r="HL411"/>
      <c r="HM411"/>
      <c r="HN411"/>
      <c r="HO411"/>
      <c r="HP411"/>
      <c r="HQ411"/>
      <c r="HR411"/>
      <c r="HS411"/>
      <c r="HT411"/>
      <c r="HU411"/>
      <c r="HV411"/>
      <c r="HW411"/>
      <c r="HX411"/>
      <c r="HY411"/>
      <c r="HZ411"/>
      <c r="IA411"/>
      <c r="IB411"/>
      <c r="IC411"/>
      <c r="ID411"/>
      <c r="IE411"/>
      <c r="IF411"/>
      <c r="IG411"/>
      <c r="IH411"/>
      <c r="II411"/>
      <c r="IJ411"/>
      <c r="IK411"/>
      <c r="IL411"/>
      <c r="IM411"/>
      <c r="IN411"/>
      <c r="IO411"/>
      <c r="IP411"/>
      <c r="IQ411"/>
      <c r="IR411"/>
      <c r="IS411"/>
      <c r="IT411"/>
      <c r="IU411"/>
      <c r="IV411"/>
      <c r="IW411"/>
      <c r="IX411"/>
      <c r="IY411"/>
      <c r="IZ411"/>
      <c r="JA411"/>
      <c r="JB411"/>
      <c r="JC411"/>
      <c r="JD411"/>
      <c r="JE411"/>
      <c r="JF411"/>
      <c r="JG411"/>
      <c r="JH411"/>
      <c r="JI411"/>
      <c r="JJ411"/>
      <c r="JK411"/>
      <c r="JL411"/>
      <c r="JM411"/>
      <c r="JN411"/>
      <c r="JO411"/>
      <c r="JP411"/>
      <c r="JQ411"/>
      <c r="JR411"/>
      <c r="JS411"/>
      <c r="JT411"/>
      <c r="JU411"/>
      <c r="JV411"/>
      <c r="JW411"/>
      <c r="JX411"/>
      <c r="JY411"/>
      <c r="JZ411"/>
      <c r="KA411"/>
      <c r="KB411"/>
      <c r="KC411"/>
      <c r="KD411"/>
      <c r="KE411"/>
      <c r="KF411"/>
      <c r="KG411"/>
      <c r="KH411"/>
      <c r="KI411"/>
      <c r="KJ411"/>
      <c r="KK411"/>
      <c r="KL411"/>
      <c r="KM411"/>
      <c r="KN411"/>
      <c r="KO411"/>
      <c r="KP411"/>
      <c r="KQ411"/>
      <c r="KR411"/>
      <c r="KS411"/>
    </row>
    <row r="412" spans="2:305" hidden="1" x14ac:dyDescent="0.25">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c r="EN412"/>
      <c r="EO412"/>
      <c r="EP412"/>
      <c r="EQ412"/>
      <c r="ER412"/>
      <c r="ES412"/>
      <c r="ET412"/>
      <c r="EU412"/>
      <c r="EV412"/>
      <c r="EW412"/>
      <c r="EX412"/>
      <c r="EY412"/>
      <c r="EZ412"/>
      <c r="FA412"/>
      <c r="FB412"/>
      <c r="FC412"/>
      <c r="FD412"/>
      <c r="FE412"/>
      <c r="FF412"/>
      <c r="FG412"/>
      <c r="FH412"/>
      <c r="FI412"/>
      <c r="FJ412"/>
      <c r="FK412"/>
      <c r="FL412"/>
      <c r="FM412"/>
      <c r="FN412"/>
      <c r="FO412"/>
      <c r="FP412"/>
      <c r="FQ412"/>
      <c r="FR412"/>
      <c r="FS412"/>
      <c r="FT412"/>
      <c r="FU412"/>
      <c r="FV412"/>
      <c r="FW412"/>
      <c r="FX412"/>
      <c r="FY412"/>
      <c r="FZ412"/>
      <c r="GA412"/>
      <c r="GB412"/>
      <c r="GC412"/>
      <c r="GD412"/>
      <c r="GE412"/>
      <c r="GF412"/>
      <c r="GG412"/>
      <c r="GH412"/>
      <c r="GI412"/>
      <c r="GJ412"/>
      <c r="GK412"/>
      <c r="GL412"/>
      <c r="GM412"/>
      <c r="GN412"/>
      <c r="GO412"/>
      <c r="GP412"/>
      <c r="GQ412"/>
      <c r="GR412"/>
      <c r="GS412"/>
      <c r="GT412"/>
      <c r="GU412"/>
      <c r="GV412"/>
      <c r="GW412"/>
      <c r="GX412"/>
      <c r="GY412"/>
      <c r="GZ412"/>
      <c r="HA412"/>
      <c r="HB412"/>
      <c r="HC412"/>
      <c r="HD412"/>
      <c r="HE412"/>
      <c r="HF412"/>
      <c r="HG412"/>
      <c r="HH412"/>
      <c r="HI412"/>
      <c r="HJ412"/>
      <c r="HK412"/>
      <c r="HL412"/>
      <c r="HM412"/>
      <c r="HN412"/>
      <c r="HO412"/>
      <c r="HP412"/>
      <c r="HQ412"/>
      <c r="HR412"/>
      <c r="HS412"/>
      <c r="HT412"/>
      <c r="HU412"/>
      <c r="HV412"/>
      <c r="HW412"/>
      <c r="HX412"/>
      <c r="HY412"/>
      <c r="HZ412"/>
      <c r="IA412"/>
      <c r="IB412"/>
      <c r="IC412"/>
      <c r="ID412"/>
      <c r="IE412"/>
      <c r="IF412"/>
      <c r="IG412"/>
      <c r="IH412"/>
      <c r="II412"/>
      <c r="IJ412"/>
      <c r="IK412"/>
      <c r="IL412"/>
      <c r="IM412"/>
      <c r="IN412"/>
      <c r="IO412"/>
      <c r="IP412"/>
      <c r="IQ412"/>
      <c r="IR412"/>
      <c r="IS412"/>
      <c r="IT412"/>
      <c r="IU412"/>
      <c r="IV412"/>
      <c r="IW412"/>
      <c r="IX412"/>
      <c r="IY412"/>
      <c r="IZ412"/>
      <c r="JA412"/>
      <c r="JB412"/>
      <c r="JC412"/>
      <c r="JD412"/>
      <c r="JE412"/>
      <c r="JF412"/>
      <c r="JG412"/>
      <c r="JH412"/>
      <c r="JI412"/>
      <c r="JJ412"/>
      <c r="JK412"/>
      <c r="JL412"/>
      <c r="JM412"/>
      <c r="JN412"/>
      <c r="JO412"/>
      <c r="JP412"/>
      <c r="JQ412"/>
      <c r="JR412"/>
      <c r="JS412"/>
      <c r="JT412"/>
      <c r="JU412"/>
      <c r="JV412"/>
      <c r="JW412"/>
      <c r="JX412"/>
      <c r="JY412"/>
      <c r="JZ412"/>
      <c r="KA412"/>
      <c r="KB412"/>
      <c r="KC412"/>
      <c r="KD412"/>
      <c r="KE412"/>
      <c r="KF412"/>
      <c r="KG412"/>
      <c r="KH412"/>
      <c r="KI412"/>
      <c r="KJ412"/>
      <c r="KK412"/>
      <c r="KL412"/>
      <c r="KM412"/>
      <c r="KN412"/>
      <c r="KO412"/>
      <c r="KP412"/>
      <c r="KQ412"/>
      <c r="KR412"/>
      <c r="KS412"/>
    </row>
    <row r="413" spans="2:305" hidden="1" x14ac:dyDescent="0.25">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c r="EN413"/>
      <c r="EO413"/>
      <c r="EP413"/>
      <c r="EQ413"/>
      <c r="ER413"/>
      <c r="ES413"/>
      <c r="ET413"/>
      <c r="EU413"/>
      <c r="EV413"/>
      <c r="EW413"/>
      <c r="EX413"/>
      <c r="EY413"/>
      <c r="EZ413"/>
      <c r="FA413"/>
      <c r="FB413"/>
      <c r="FC413"/>
      <c r="FD413"/>
      <c r="FE413"/>
      <c r="FF413"/>
      <c r="FG413"/>
      <c r="FH413"/>
      <c r="FI413"/>
      <c r="FJ413"/>
      <c r="FK413"/>
      <c r="FL413"/>
      <c r="FM413"/>
      <c r="FN413"/>
      <c r="FO413"/>
      <c r="FP413"/>
      <c r="FQ413"/>
      <c r="FR413"/>
      <c r="FS413"/>
      <c r="FT413"/>
      <c r="FU413"/>
      <c r="FV413"/>
      <c r="FW413"/>
      <c r="FX413"/>
      <c r="FY413"/>
      <c r="FZ413"/>
      <c r="GA413"/>
      <c r="GB413"/>
      <c r="GC413"/>
      <c r="GD413"/>
      <c r="GE413"/>
      <c r="GF413"/>
      <c r="GG413"/>
      <c r="GH413"/>
      <c r="GI413"/>
      <c r="GJ413"/>
      <c r="GK413"/>
      <c r="GL413"/>
      <c r="GM413"/>
      <c r="GN413"/>
      <c r="GO413"/>
      <c r="GP413"/>
      <c r="GQ413"/>
      <c r="GR413"/>
      <c r="GS413"/>
      <c r="GT413"/>
      <c r="GU413"/>
      <c r="GV413"/>
      <c r="GW413"/>
      <c r="GX413"/>
      <c r="GY413"/>
      <c r="GZ413"/>
      <c r="HA413"/>
      <c r="HB413"/>
      <c r="HC413"/>
      <c r="HD413"/>
      <c r="HE413"/>
      <c r="HF413"/>
      <c r="HG413"/>
      <c r="HH413"/>
      <c r="HI413"/>
      <c r="HJ413"/>
      <c r="HK413"/>
      <c r="HL413"/>
      <c r="HM413"/>
      <c r="HN413"/>
      <c r="HO413"/>
      <c r="HP413"/>
      <c r="HQ413"/>
      <c r="HR413"/>
      <c r="HS413"/>
      <c r="HT413"/>
      <c r="HU413"/>
      <c r="HV413"/>
      <c r="HW413"/>
      <c r="HX413"/>
      <c r="HY413"/>
      <c r="HZ413"/>
      <c r="IA413"/>
      <c r="IB413"/>
      <c r="IC413"/>
      <c r="ID413"/>
      <c r="IE413"/>
      <c r="IF413"/>
      <c r="IG413"/>
      <c r="IH413"/>
      <c r="II413"/>
      <c r="IJ413"/>
      <c r="IK413"/>
      <c r="IL413"/>
      <c r="IM413"/>
      <c r="IN413"/>
      <c r="IO413"/>
      <c r="IP413"/>
      <c r="IQ413"/>
      <c r="IR413"/>
      <c r="IS413"/>
      <c r="IT413"/>
      <c r="IU413"/>
      <c r="IV413"/>
      <c r="IW413"/>
      <c r="IX413"/>
      <c r="IY413"/>
      <c r="IZ413"/>
      <c r="JA413"/>
      <c r="JB413"/>
      <c r="JC413"/>
      <c r="JD413"/>
      <c r="JE413"/>
      <c r="JF413"/>
      <c r="JG413"/>
      <c r="JH413"/>
      <c r="JI413"/>
      <c r="JJ413"/>
      <c r="JK413"/>
      <c r="JL413"/>
      <c r="JM413"/>
      <c r="JN413"/>
      <c r="JO413"/>
      <c r="JP413"/>
      <c r="JQ413"/>
      <c r="JR413"/>
      <c r="JS413"/>
      <c r="JT413"/>
      <c r="JU413"/>
      <c r="JV413"/>
      <c r="JW413"/>
      <c r="JX413"/>
      <c r="JY413"/>
      <c r="JZ413"/>
      <c r="KA413"/>
      <c r="KB413"/>
      <c r="KC413"/>
      <c r="KD413"/>
      <c r="KE413"/>
      <c r="KF413"/>
      <c r="KG413"/>
      <c r="KH413"/>
      <c r="KI413"/>
      <c r="KJ413"/>
      <c r="KK413"/>
      <c r="KL413"/>
      <c r="KM413"/>
      <c r="KN413"/>
      <c r="KO413"/>
      <c r="KP413"/>
      <c r="KQ413"/>
      <c r="KR413"/>
      <c r="KS413"/>
    </row>
    <row r="414" spans="2:305" hidden="1" x14ac:dyDescent="0.25">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c r="EN414"/>
      <c r="EO414"/>
      <c r="EP414"/>
      <c r="EQ414"/>
      <c r="ER414"/>
      <c r="ES414"/>
      <c r="ET414"/>
      <c r="EU414"/>
      <c r="EV414"/>
      <c r="EW414"/>
      <c r="EX414"/>
      <c r="EY414"/>
      <c r="EZ414"/>
      <c r="FA414"/>
      <c r="FB414"/>
      <c r="FC414"/>
      <c r="FD414"/>
      <c r="FE414"/>
      <c r="FF414"/>
      <c r="FG414"/>
      <c r="FH414"/>
      <c r="FI414"/>
      <c r="FJ414"/>
      <c r="FK414"/>
      <c r="FL414"/>
      <c r="FM414"/>
      <c r="FN414"/>
      <c r="FO414"/>
      <c r="FP414"/>
      <c r="FQ414"/>
      <c r="FR414"/>
      <c r="FS414"/>
      <c r="FT414"/>
      <c r="FU414"/>
      <c r="FV414"/>
      <c r="FW414"/>
      <c r="FX414"/>
      <c r="FY414"/>
      <c r="FZ414"/>
      <c r="GA414"/>
      <c r="GB414"/>
      <c r="GC414"/>
      <c r="GD414"/>
      <c r="GE414"/>
      <c r="GF414"/>
      <c r="GG414"/>
      <c r="GH414"/>
      <c r="GI414"/>
      <c r="GJ414"/>
      <c r="GK414"/>
      <c r="GL414"/>
      <c r="GM414"/>
      <c r="GN414"/>
      <c r="GO414"/>
      <c r="GP414"/>
      <c r="GQ414"/>
      <c r="GR414"/>
      <c r="GS414"/>
      <c r="GT414"/>
      <c r="GU414"/>
      <c r="GV414"/>
      <c r="GW414"/>
      <c r="GX414"/>
      <c r="GY414"/>
      <c r="GZ414"/>
      <c r="HA414"/>
      <c r="HB414"/>
      <c r="HC414"/>
      <c r="HD414"/>
      <c r="HE414"/>
      <c r="HF414"/>
      <c r="HG414"/>
      <c r="HH414"/>
      <c r="HI414"/>
      <c r="HJ414"/>
      <c r="HK414"/>
      <c r="HL414"/>
      <c r="HM414"/>
      <c r="HN414"/>
      <c r="HO414"/>
      <c r="HP414"/>
      <c r="HQ414"/>
      <c r="HR414"/>
      <c r="HS414"/>
      <c r="HT414"/>
      <c r="HU414"/>
      <c r="HV414"/>
      <c r="HW414"/>
      <c r="HX414"/>
      <c r="HY414"/>
      <c r="HZ414"/>
      <c r="IA414"/>
      <c r="IB414"/>
      <c r="IC414"/>
      <c r="ID414"/>
      <c r="IE414"/>
      <c r="IF414"/>
      <c r="IG414"/>
      <c r="IH414"/>
      <c r="II414"/>
      <c r="IJ414"/>
      <c r="IK414"/>
      <c r="IL414"/>
      <c r="IM414"/>
      <c r="IN414"/>
      <c r="IO414"/>
      <c r="IP414"/>
      <c r="IQ414"/>
      <c r="IR414"/>
      <c r="IS414"/>
      <c r="IT414"/>
      <c r="IU414"/>
      <c r="IV414"/>
      <c r="IW414"/>
      <c r="IX414"/>
      <c r="IY414"/>
      <c r="IZ414"/>
      <c r="JA414"/>
      <c r="JB414"/>
      <c r="JC414"/>
      <c r="JD414"/>
      <c r="JE414"/>
      <c r="JF414"/>
      <c r="JG414"/>
      <c r="JH414"/>
      <c r="JI414"/>
      <c r="JJ414"/>
      <c r="JK414"/>
      <c r="JL414"/>
      <c r="JM414"/>
      <c r="JN414"/>
      <c r="JO414"/>
      <c r="JP414"/>
      <c r="JQ414"/>
      <c r="JR414"/>
      <c r="JS414"/>
      <c r="JT414"/>
      <c r="JU414"/>
      <c r="JV414"/>
      <c r="JW414"/>
      <c r="JX414"/>
      <c r="JY414"/>
      <c r="JZ414"/>
      <c r="KA414"/>
      <c r="KB414"/>
      <c r="KC414"/>
      <c r="KD414"/>
      <c r="KE414"/>
      <c r="KF414"/>
      <c r="KG414"/>
      <c r="KH414"/>
      <c r="KI414"/>
      <c r="KJ414"/>
      <c r="KK414"/>
      <c r="KL414"/>
      <c r="KM414"/>
      <c r="KN414"/>
      <c r="KO414"/>
      <c r="KP414"/>
      <c r="KQ414"/>
      <c r="KR414"/>
      <c r="KS414"/>
    </row>
    <row r="415" spans="2:305" hidden="1" x14ac:dyDescent="0.2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c r="EN415"/>
      <c r="EO415"/>
      <c r="EP415"/>
      <c r="EQ415"/>
      <c r="ER415"/>
      <c r="ES415"/>
      <c r="ET415"/>
      <c r="EU415"/>
      <c r="EV415"/>
      <c r="EW415"/>
      <c r="EX415"/>
      <c r="EY415"/>
      <c r="EZ415"/>
      <c r="FA415"/>
      <c r="FB415"/>
      <c r="FC415"/>
      <c r="FD415"/>
      <c r="FE415"/>
      <c r="FF415"/>
      <c r="FG415"/>
      <c r="FH415"/>
      <c r="FI415"/>
      <c r="FJ415"/>
      <c r="FK415"/>
      <c r="FL415"/>
      <c r="FM415"/>
      <c r="FN415"/>
      <c r="FO415"/>
      <c r="FP415"/>
      <c r="FQ415"/>
      <c r="FR415"/>
      <c r="FS415"/>
      <c r="FT415"/>
      <c r="FU415"/>
      <c r="FV415"/>
      <c r="FW415"/>
      <c r="FX415"/>
      <c r="FY415"/>
      <c r="FZ415"/>
      <c r="GA415"/>
      <c r="GB415"/>
      <c r="GC415"/>
      <c r="GD415"/>
      <c r="GE415"/>
      <c r="GF415"/>
      <c r="GG415"/>
      <c r="GH415"/>
      <c r="GI415"/>
      <c r="GJ415"/>
      <c r="GK415"/>
      <c r="GL415"/>
      <c r="GM415"/>
      <c r="GN415"/>
      <c r="GO415"/>
      <c r="GP415"/>
      <c r="GQ415"/>
      <c r="GR415"/>
      <c r="GS415"/>
      <c r="GT415"/>
      <c r="GU415"/>
      <c r="GV415"/>
      <c r="GW415"/>
      <c r="GX415"/>
      <c r="GY415"/>
      <c r="GZ415"/>
      <c r="HA415"/>
      <c r="HB415"/>
      <c r="HC415"/>
      <c r="HD415"/>
      <c r="HE415"/>
      <c r="HF415"/>
      <c r="HG415"/>
      <c r="HH415"/>
      <c r="HI415"/>
      <c r="HJ415"/>
      <c r="HK415"/>
      <c r="HL415"/>
      <c r="HM415"/>
      <c r="HN415"/>
      <c r="HO415"/>
      <c r="HP415"/>
      <c r="HQ415"/>
      <c r="HR415"/>
      <c r="HS415"/>
      <c r="HT415"/>
      <c r="HU415"/>
      <c r="HV415"/>
      <c r="HW415"/>
      <c r="HX415"/>
      <c r="HY415"/>
      <c r="HZ415"/>
      <c r="IA415"/>
      <c r="IB415"/>
      <c r="IC415"/>
      <c r="ID415"/>
      <c r="IE415"/>
      <c r="IF415"/>
      <c r="IG415"/>
      <c r="IH415"/>
      <c r="II415"/>
      <c r="IJ415"/>
      <c r="IK415"/>
      <c r="IL415"/>
      <c r="IM415"/>
      <c r="IN415"/>
      <c r="IO415"/>
      <c r="IP415"/>
      <c r="IQ415"/>
      <c r="IR415"/>
      <c r="IS415"/>
      <c r="IT415"/>
      <c r="IU415"/>
      <c r="IV415"/>
      <c r="IW415"/>
      <c r="IX415"/>
      <c r="IY415"/>
      <c r="IZ415"/>
      <c r="JA415"/>
      <c r="JB415"/>
      <c r="JC415"/>
      <c r="JD415"/>
      <c r="JE415"/>
      <c r="JF415"/>
      <c r="JG415"/>
      <c r="JH415"/>
      <c r="JI415"/>
      <c r="JJ415"/>
      <c r="JK415"/>
      <c r="JL415"/>
      <c r="JM415"/>
      <c r="JN415"/>
      <c r="JO415"/>
      <c r="JP415"/>
      <c r="JQ415"/>
      <c r="JR415"/>
      <c r="JS415"/>
      <c r="JT415"/>
      <c r="JU415"/>
      <c r="JV415"/>
      <c r="JW415"/>
      <c r="JX415"/>
      <c r="JY415"/>
      <c r="JZ415"/>
      <c r="KA415"/>
      <c r="KB415"/>
      <c r="KC415"/>
      <c r="KD415"/>
      <c r="KE415"/>
      <c r="KF415"/>
      <c r="KG415"/>
      <c r="KH415"/>
      <c r="KI415"/>
      <c r="KJ415"/>
      <c r="KK415"/>
      <c r="KL415"/>
      <c r="KM415"/>
      <c r="KN415"/>
      <c r="KO415"/>
      <c r="KP415"/>
      <c r="KQ415"/>
      <c r="KR415"/>
      <c r="KS415"/>
    </row>
    <row r="416" spans="2:305" hidden="1" x14ac:dyDescent="0.25">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c r="EN416"/>
      <c r="EO416"/>
      <c r="EP416"/>
      <c r="EQ416"/>
      <c r="ER416"/>
      <c r="ES416"/>
      <c r="ET416"/>
      <c r="EU416"/>
      <c r="EV416"/>
      <c r="EW416"/>
      <c r="EX416"/>
      <c r="EY416"/>
      <c r="EZ416"/>
      <c r="FA416"/>
      <c r="FB416"/>
      <c r="FC416"/>
      <c r="FD416"/>
      <c r="FE416"/>
      <c r="FF416"/>
      <c r="FG416"/>
      <c r="FH416"/>
      <c r="FI416"/>
      <c r="FJ416"/>
      <c r="FK416"/>
      <c r="FL416"/>
      <c r="FM416"/>
      <c r="FN416"/>
      <c r="FO416"/>
      <c r="FP416"/>
      <c r="FQ416"/>
      <c r="FR416"/>
      <c r="FS416"/>
      <c r="FT416"/>
      <c r="FU416"/>
      <c r="FV416"/>
      <c r="FW416"/>
      <c r="FX416"/>
      <c r="FY416"/>
      <c r="FZ416"/>
      <c r="GA416"/>
      <c r="GB416"/>
      <c r="GC416"/>
      <c r="GD416"/>
      <c r="GE416"/>
      <c r="GF416"/>
      <c r="GG416"/>
      <c r="GH416"/>
      <c r="GI416"/>
      <c r="GJ416"/>
      <c r="GK416"/>
      <c r="GL416"/>
      <c r="GM416"/>
      <c r="GN416"/>
      <c r="GO416"/>
      <c r="GP416"/>
      <c r="GQ416"/>
      <c r="GR416"/>
      <c r="GS416"/>
      <c r="GT416"/>
      <c r="GU416"/>
      <c r="GV416"/>
      <c r="GW416"/>
      <c r="GX416"/>
      <c r="GY416"/>
      <c r="GZ416"/>
      <c r="HA416"/>
      <c r="HB416"/>
      <c r="HC416"/>
      <c r="HD416"/>
      <c r="HE416"/>
      <c r="HF416"/>
      <c r="HG416"/>
      <c r="HH416"/>
      <c r="HI416"/>
      <c r="HJ416"/>
      <c r="HK416"/>
      <c r="HL416"/>
      <c r="HM416"/>
      <c r="HN416"/>
      <c r="HO416"/>
      <c r="HP416"/>
      <c r="HQ416"/>
      <c r="HR416"/>
      <c r="HS416"/>
      <c r="HT416"/>
      <c r="HU416"/>
      <c r="HV416"/>
      <c r="HW416"/>
      <c r="HX416"/>
      <c r="HY416"/>
      <c r="HZ416"/>
      <c r="IA416"/>
      <c r="IB416"/>
      <c r="IC416"/>
      <c r="ID416"/>
      <c r="IE416"/>
      <c r="IF416"/>
      <c r="IG416"/>
      <c r="IH416"/>
      <c r="II416"/>
      <c r="IJ416"/>
      <c r="IK416"/>
      <c r="IL416"/>
      <c r="IM416"/>
      <c r="IN416"/>
      <c r="IO416"/>
      <c r="IP416"/>
      <c r="IQ416"/>
      <c r="IR416"/>
      <c r="IS416"/>
      <c r="IT416"/>
      <c r="IU416"/>
      <c r="IV416"/>
      <c r="IW416"/>
      <c r="IX416"/>
      <c r="IY416"/>
      <c r="IZ416"/>
      <c r="JA416"/>
      <c r="JB416"/>
      <c r="JC416"/>
      <c r="JD416"/>
      <c r="JE416"/>
      <c r="JF416"/>
      <c r="JG416"/>
      <c r="JH416"/>
      <c r="JI416"/>
      <c r="JJ416"/>
      <c r="JK416"/>
      <c r="JL416"/>
      <c r="JM416"/>
      <c r="JN416"/>
      <c r="JO416"/>
      <c r="JP416"/>
      <c r="JQ416"/>
      <c r="JR416"/>
      <c r="JS416"/>
      <c r="JT416"/>
      <c r="JU416"/>
      <c r="JV416"/>
      <c r="JW416"/>
      <c r="JX416"/>
      <c r="JY416"/>
      <c r="JZ416"/>
      <c r="KA416"/>
      <c r="KB416"/>
      <c r="KC416"/>
      <c r="KD416"/>
      <c r="KE416"/>
      <c r="KF416"/>
      <c r="KG416"/>
      <c r="KH416"/>
      <c r="KI416"/>
      <c r="KJ416"/>
      <c r="KK416"/>
      <c r="KL416"/>
      <c r="KM416"/>
      <c r="KN416"/>
      <c r="KO416"/>
      <c r="KP416"/>
      <c r="KQ416"/>
      <c r="KR416"/>
      <c r="KS416"/>
    </row>
    <row r="417" spans="2:305" hidden="1" x14ac:dyDescent="0.25">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c r="EN417"/>
      <c r="EO417"/>
      <c r="EP417"/>
      <c r="EQ417"/>
      <c r="ER417"/>
      <c r="ES417"/>
      <c r="ET417"/>
      <c r="EU417"/>
      <c r="EV417"/>
      <c r="EW417"/>
      <c r="EX417"/>
      <c r="EY417"/>
      <c r="EZ417"/>
      <c r="FA417"/>
      <c r="FB417"/>
      <c r="FC417"/>
      <c r="FD417"/>
      <c r="FE417"/>
      <c r="FF417"/>
      <c r="FG417"/>
      <c r="FH417"/>
      <c r="FI417"/>
      <c r="FJ417"/>
      <c r="FK417"/>
      <c r="FL417"/>
      <c r="FM417"/>
      <c r="FN417"/>
      <c r="FO417"/>
      <c r="FP417"/>
      <c r="FQ417"/>
      <c r="FR417"/>
      <c r="FS417"/>
      <c r="FT417"/>
      <c r="FU417"/>
      <c r="FV417"/>
      <c r="FW417"/>
      <c r="FX417"/>
      <c r="FY417"/>
      <c r="FZ417"/>
      <c r="GA417"/>
      <c r="GB417"/>
      <c r="GC417"/>
      <c r="GD417"/>
      <c r="GE417"/>
      <c r="GF417"/>
      <c r="GG417"/>
      <c r="GH417"/>
      <c r="GI417"/>
      <c r="GJ417"/>
      <c r="GK417"/>
      <c r="GL417"/>
      <c r="GM417"/>
      <c r="GN417"/>
      <c r="GO417"/>
      <c r="GP417"/>
      <c r="GQ417"/>
      <c r="GR417"/>
      <c r="GS417"/>
      <c r="GT417"/>
      <c r="GU417"/>
      <c r="GV417"/>
      <c r="GW417"/>
      <c r="GX417"/>
      <c r="GY417"/>
      <c r="GZ417"/>
      <c r="HA417"/>
      <c r="HB417"/>
      <c r="HC417"/>
      <c r="HD417"/>
      <c r="HE417"/>
      <c r="HF417"/>
      <c r="HG417"/>
      <c r="HH417"/>
      <c r="HI417"/>
      <c r="HJ417"/>
      <c r="HK417"/>
      <c r="HL417"/>
      <c r="HM417"/>
      <c r="HN417"/>
      <c r="HO417"/>
      <c r="HP417"/>
      <c r="HQ417"/>
      <c r="HR417"/>
      <c r="HS417"/>
      <c r="HT417"/>
      <c r="HU417"/>
      <c r="HV417"/>
      <c r="HW417"/>
      <c r="HX417"/>
      <c r="HY417"/>
      <c r="HZ417"/>
      <c r="IA417"/>
      <c r="IB417"/>
      <c r="IC417"/>
      <c r="ID417"/>
      <c r="IE417"/>
      <c r="IF417"/>
      <c r="IG417"/>
      <c r="IH417"/>
      <c r="II417"/>
      <c r="IJ417"/>
      <c r="IK417"/>
      <c r="IL417"/>
      <c r="IM417"/>
      <c r="IN417"/>
      <c r="IO417"/>
      <c r="IP417"/>
      <c r="IQ417"/>
      <c r="IR417"/>
      <c r="IS417"/>
      <c r="IT417"/>
      <c r="IU417"/>
      <c r="IV417"/>
      <c r="IW417"/>
      <c r="IX417"/>
      <c r="IY417"/>
      <c r="IZ417"/>
      <c r="JA417"/>
      <c r="JB417"/>
      <c r="JC417"/>
      <c r="JD417"/>
      <c r="JE417"/>
      <c r="JF417"/>
      <c r="JG417"/>
      <c r="JH417"/>
      <c r="JI417"/>
      <c r="JJ417"/>
      <c r="JK417"/>
      <c r="JL417"/>
      <c r="JM417"/>
      <c r="JN417"/>
      <c r="JO417"/>
      <c r="JP417"/>
      <c r="JQ417"/>
      <c r="JR417"/>
      <c r="JS417"/>
      <c r="JT417"/>
      <c r="JU417"/>
      <c r="JV417"/>
      <c r="JW417"/>
      <c r="JX417"/>
      <c r="JY417"/>
      <c r="JZ417"/>
      <c r="KA417"/>
      <c r="KB417"/>
      <c r="KC417"/>
      <c r="KD417"/>
      <c r="KE417"/>
      <c r="KF417"/>
      <c r="KG417"/>
      <c r="KH417"/>
      <c r="KI417"/>
      <c r="KJ417"/>
      <c r="KK417"/>
      <c r="KL417"/>
      <c r="KM417"/>
      <c r="KN417"/>
      <c r="KO417"/>
      <c r="KP417"/>
      <c r="KQ417"/>
      <c r="KR417"/>
      <c r="KS417"/>
    </row>
    <row r="418" spans="2:305" hidden="1" x14ac:dyDescent="0.25">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c r="EN418"/>
      <c r="EO418"/>
      <c r="EP418"/>
      <c r="EQ418"/>
      <c r="ER418"/>
      <c r="ES418"/>
      <c r="ET418"/>
      <c r="EU418"/>
      <c r="EV418"/>
      <c r="EW418"/>
      <c r="EX418"/>
      <c r="EY418"/>
      <c r="EZ418"/>
      <c r="FA418"/>
      <c r="FB418"/>
      <c r="FC418"/>
      <c r="FD418"/>
      <c r="FE418"/>
      <c r="FF418"/>
      <c r="FG418"/>
      <c r="FH418"/>
      <c r="FI418"/>
      <c r="FJ418"/>
      <c r="FK418"/>
      <c r="FL418"/>
      <c r="FM418"/>
      <c r="FN418"/>
      <c r="FO418"/>
      <c r="FP418"/>
      <c r="FQ418"/>
      <c r="FR418"/>
      <c r="FS418"/>
      <c r="FT418"/>
      <c r="FU418"/>
      <c r="FV418"/>
      <c r="FW418"/>
      <c r="FX418"/>
      <c r="FY418"/>
      <c r="FZ418"/>
      <c r="GA418"/>
      <c r="GB418"/>
      <c r="GC418"/>
      <c r="GD418"/>
      <c r="GE418"/>
      <c r="GF418"/>
      <c r="GG418"/>
      <c r="GH418"/>
      <c r="GI418"/>
      <c r="GJ418"/>
      <c r="GK418"/>
      <c r="GL418"/>
      <c r="GM418"/>
      <c r="GN418"/>
      <c r="GO418"/>
      <c r="GP418"/>
      <c r="GQ418"/>
      <c r="GR418"/>
      <c r="GS418"/>
      <c r="GT418"/>
      <c r="GU418"/>
      <c r="GV418"/>
      <c r="GW418"/>
      <c r="GX418"/>
      <c r="GY418"/>
      <c r="GZ418"/>
      <c r="HA418"/>
      <c r="HB418"/>
      <c r="HC418"/>
      <c r="HD418"/>
      <c r="HE418"/>
      <c r="HF418"/>
      <c r="HG418"/>
      <c r="HH418"/>
      <c r="HI418"/>
      <c r="HJ418"/>
      <c r="HK418"/>
      <c r="HL418"/>
      <c r="HM418"/>
      <c r="HN418"/>
      <c r="HO418"/>
      <c r="HP418"/>
      <c r="HQ418"/>
      <c r="HR418"/>
      <c r="HS418"/>
      <c r="HT418"/>
      <c r="HU418"/>
      <c r="HV418"/>
      <c r="HW418"/>
      <c r="HX418"/>
      <c r="HY418"/>
      <c r="HZ418"/>
      <c r="IA418"/>
      <c r="IB418"/>
      <c r="IC418"/>
      <c r="ID418"/>
      <c r="IE418"/>
      <c r="IF418"/>
      <c r="IG418"/>
      <c r="IH418"/>
      <c r="II418"/>
      <c r="IJ418"/>
      <c r="IK418"/>
      <c r="IL418"/>
      <c r="IM418"/>
      <c r="IN418"/>
      <c r="IO418"/>
      <c r="IP418"/>
      <c r="IQ418"/>
      <c r="IR418"/>
      <c r="IS418"/>
      <c r="IT418"/>
      <c r="IU418"/>
      <c r="IV418"/>
      <c r="IW418"/>
      <c r="IX418"/>
      <c r="IY418"/>
      <c r="IZ418"/>
      <c r="JA418"/>
      <c r="JB418"/>
      <c r="JC418"/>
      <c r="JD418"/>
      <c r="JE418"/>
      <c r="JF418"/>
      <c r="JG418"/>
      <c r="JH418"/>
      <c r="JI418"/>
      <c r="JJ418"/>
      <c r="JK418"/>
      <c r="JL418"/>
      <c r="JM418"/>
      <c r="JN418"/>
      <c r="JO418"/>
      <c r="JP418"/>
      <c r="JQ418"/>
      <c r="JR418"/>
      <c r="JS418"/>
      <c r="JT418"/>
      <c r="JU418"/>
      <c r="JV418"/>
      <c r="JW418"/>
      <c r="JX418"/>
      <c r="JY418"/>
      <c r="JZ418"/>
      <c r="KA418"/>
      <c r="KB418"/>
      <c r="KC418"/>
      <c r="KD418"/>
      <c r="KE418"/>
      <c r="KF418"/>
      <c r="KG418"/>
      <c r="KH418"/>
      <c r="KI418"/>
      <c r="KJ418"/>
      <c r="KK418"/>
      <c r="KL418"/>
      <c r="KM418"/>
      <c r="KN418"/>
      <c r="KO418"/>
      <c r="KP418"/>
      <c r="KQ418"/>
      <c r="KR418"/>
      <c r="KS418"/>
    </row>
    <row r="419" spans="2:305" hidden="1" x14ac:dyDescent="0.25">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c r="EN419"/>
      <c r="EO419"/>
      <c r="EP419"/>
      <c r="EQ419"/>
      <c r="ER419"/>
      <c r="ES419"/>
      <c r="ET419"/>
      <c r="EU419"/>
      <c r="EV419"/>
      <c r="EW419"/>
      <c r="EX419"/>
      <c r="EY419"/>
      <c r="EZ419"/>
      <c r="FA419"/>
      <c r="FB419"/>
      <c r="FC419"/>
      <c r="FD419"/>
      <c r="FE419"/>
      <c r="FF419"/>
      <c r="FG419"/>
      <c r="FH419"/>
      <c r="FI419"/>
      <c r="FJ419"/>
      <c r="FK419"/>
      <c r="FL419"/>
      <c r="FM419"/>
      <c r="FN419"/>
      <c r="FO419"/>
      <c r="FP419"/>
      <c r="FQ419"/>
      <c r="FR419"/>
      <c r="FS419"/>
      <c r="FT419"/>
      <c r="FU419"/>
      <c r="FV419"/>
      <c r="FW419"/>
      <c r="FX419"/>
      <c r="FY419"/>
      <c r="FZ419"/>
      <c r="GA419"/>
      <c r="GB419"/>
      <c r="GC419"/>
      <c r="GD419"/>
      <c r="GE419"/>
      <c r="GF419"/>
      <c r="GG419"/>
      <c r="GH419"/>
      <c r="GI419"/>
      <c r="GJ419"/>
      <c r="GK419"/>
      <c r="GL419"/>
      <c r="GM419"/>
      <c r="GN419"/>
      <c r="GO419"/>
      <c r="GP419"/>
      <c r="GQ419"/>
      <c r="GR419"/>
      <c r="GS419"/>
      <c r="GT419"/>
      <c r="GU419"/>
      <c r="GV419"/>
      <c r="GW419"/>
      <c r="GX419"/>
      <c r="GY419"/>
      <c r="GZ419"/>
      <c r="HA419"/>
      <c r="HB419"/>
      <c r="HC419"/>
      <c r="HD419"/>
      <c r="HE419"/>
      <c r="HF419"/>
      <c r="HG419"/>
      <c r="HH419"/>
      <c r="HI419"/>
      <c r="HJ419"/>
      <c r="HK419"/>
      <c r="HL419"/>
      <c r="HM419"/>
      <c r="HN419"/>
      <c r="HO419"/>
      <c r="HP419"/>
      <c r="HQ419"/>
      <c r="HR419"/>
      <c r="HS419"/>
      <c r="HT419"/>
      <c r="HU419"/>
      <c r="HV419"/>
      <c r="HW419"/>
      <c r="HX419"/>
      <c r="HY419"/>
      <c r="HZ419"/>
      <c r="IA419"/>
      <c r="IB419"/>
      <c r="IC419"/>
      <c r="ID419"/>
      <c r="IE419"/>
      <c r="IF419"/>
      <c r="IG419"/>
      <c r="IH419"/>
      <c r="II419"/>
      <c r="IJ419"/>
      <c r="IK419"/>
      <c r="IL419"/>
      <c r="IM419"/>
      <c r="IN419"/>
      <c r="IO419"/>
      <c r="IP419"/>
      <c r="IQ419"/>
      <c r="IR419"/>
      <c r="IS419"/>
      <c r="IT419"/>
      <c r="IU419"/>
      <c r="IV419"/>
      <c r="IW419"/>
      <c r="IX419"/>
      <c r="IY419"/>
      <c r="IZ419"/>
      <c r="JA419"/>
      <c r="JB419"/>
      <c r="JC419"/>
      <c r="JD419"/>
      <c r="JE419"/>
      <c r="JF419"/>
      <c r="JG419"/>
      <c r="JH419"/>
      <c r="JI419"/>
      <c r="JJ419"/>
      <c r="JK419"/>
      <c r="JL419"/>
      <c r="JM419"/>
      <c r="JN419"/>
      <c r="JO419"/>
      <c r="JP419"/>
      <c r="JQ419"/>
      <c r="JR419"/>
      <c r="JS419"/>
      <c r="JT419"/>
      <c r="JU419"/>
      <c r="JV419"/>
      <c r="JW419"/>
      <c r="JX419"/>
      <c r="JY419"/>
      <c r="JZ419"/>
      <c r="KA419"/>
      <c r="KB419"/>
      <c r="KC419"/>
      <c r="KD419"/>
      <c r="KE419"/>
      <c r="KF419"/>
      <c r="KG419"/>
      <c r="KH419"/>
      <c r="KI419"/>
      <c r="KJ419"/>
      <c r="KK419"/>
      <c r="KL419"/>
      <c r="KM419"/>
      <c r="KN419"/>
      <c r="KO419"/>
      <c r="KP419"/>
      <c r="KQ419"/>
      <c r="KR419"/>
      <c r="KS419"/>
    </row>
    <row r="420" spans="2:305" hidden="1" x14ac:dyDescent="0.25">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c r="EN420"/>
      <c r="EO420"/>
      <c r="EP420"/>
      <c r="EQ420"/>
      <c r="ER420"/>
      <c r="ES420"/>
      <c r="ET420"/>
      <c r="EU420"/>
      <c r="EV420"/>
      <c r="EW420"/>
      <c r="EX420"/>
      <c r="EY420"/>
      <c r="EZ420"/>
      <c r="FA420"/>
      <c r="FB420"/>
      <c r="FC420"/>
      <c r="FD420"/>
      <c r="FE420"/>
      <c r="FF420"/>
      <c r="FG420"/>
      <c r="FH420"/>
      <c r="FI420"/>
      <c r="FJ420"/>
      <c r="FK420"/>
      <c r="FL420"/>
      <c r="FM420"/>
      <c r="FN420"/>
      <c r="FO420"/>
      <c r="FP420"/>
      <c r="FQ420"/>
      <c r="FR420"/>
      <c r="FS420"/>
      <c r="FT420"/>
      <c r="FU420"/>
      <c r="FV420"/>
      <c r="FW420"/>
      <c r="FX420"/>
      <c r="FY420"/>
      <c r="FZ420"/>
      <c r="GA420"/>
      <c r="GB420"/>
      <c r="GC420"/>
      <c r="GD420"/>
      <c r="GE420"/>
      <c r="GF420"/>
      <c r="GG420"/>
      <c r="GH420"/>
      <c r="GI420"/>
      <c r="GJ420"/>
      <c r="GK420"/>
      <c r="GL420"/>
      <c r="GM420"/>
      <c r="GN420"/>
      <c r="GO420"/>
      <c r="GP420"/>
      <c r="GQ420"/>
      <c r="GR420"/>
      <c r="GS420"/>
      <c r="GT420"/>
      <c r="GU420"/>
      <c r="GV420"/>
      <c r="GW420"/>
      <c r="GX420"/>
      <c r="GY420"/>
      <c r="GZ420"/>
      <c r="HA420"/>
      <c r="HB420"/>
      <c r="HC420"/>
      <c r="HD420"/>
      <c r="HE420"/>
      <c r="HF420"/>
      <c r="HG420"/>
      <c r="HH420"/>
      <c r="HI420"/>
      <c r="HJ420"/>
      <c r="HK420"/>
      <c r="HL420"/>
      <c r="HM420"/>
      <c r="HN420"/>
      <c r="HO420"/>
      <c r="HP420"/>
      <c r="HQ420"/>
      <c r="HR420"/>
      <c r="HS420"/>
      <c r="HT420"/>
      <c r="HU420"/>
      <c r="HV420"/>
      <c r="HW420"/>
      <c r="HX420"/>
      <c r="HY420"/>
      <c r="HZ420"/>
      <c r="IA420"/>
      <c r="IB420"/>
      <c r="IC420"/>
      <c r="ID420"/>
      <c r="IE420"/>
      <c r="IF420"/>
      <c r="IG420"/>
      <c r="IH420"/>
      <c r="II420"/>
      <c r="IJ420"/>
      <c r="IK420"/>
      <c r="IL420"/>
      <c r="IM420"/>
      <c r="IN420"/>
      <c r="IO420"/>
      <c r="IP420"/>
      <c r="IQ420"/>
      <c r="IR420"/>
      <c r="IS420"/>
      <c r="IT420"/>
      <c r="IU420"/>
      <c r="IV420"/>
      <c r="IW420"/>
      <c r="IX420"/>
      <c r="IY420"/>
      <c r="IZ420"/>
      <c r="JA420"/>
      <c r="JB420"/>
      <c r="JC420"/>
      <c r="JD420"/>
      <c r="JE420"/>
      <c r="JF420"/>
      <c r="JG420"/>
      <c r="JH420"/>
      <c r="JI420"/>
      <c r="JJ420"/>
      <c r="JK420"/>
      <c r="JL420"/>
      <c r="JM420"/>
      <c r="JN420"/>
      <c r="JO420"/>
      <c r="JP420"/>
      <c r="JQ420"/>
      <c r="JR420"/>
      <c r="JS420"/>
      <c r="JT420"/>
      <c r="JU420"/>
      <c r="JV420"/>
      <c r="JW420"/>
      <c r="JX420"/>
      <c r="JY420"/>
      <c r="JZ420"/>
      <c r="KA420"/>
      <c r="KB420"/>
      <c r="KC420"/>
      <c r="KD420"/>
      <c r="KE420"/>
      <c r="KF420"/>
      <c r="KG420"/>
      <c r="KH420"/>
      <c r="KI420"/>
      <c r="KJ420"/>
      <c r="KK420"/>
      <c r="KL420"/>
      <c r="KM420"/>
      <c r="KN420"/>
      <c r="KO420"/>
      <c r="KP420"/>
      <c r="KQ420"/>
      <c r="KR420"/>
      <c r="KS420"/>
    </row>
    <row r="421" spans="2:305" hidden="1" x14ac:dyDescent="0.25">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c r="EN421"/>
      <c r="EO421"/>
      <c r="EP421"/>
      <c r="EQ421"/>
      <c r="ER421"/>
      <c r="ES421"/>
      <c r="ET421"/>
      <c r="EU421"/>
      <c r="EV421"/>
      <c r="EW421"/>
      <c r="EX421"/>
      <c r="EY421"/>
      <c r="EZ421"/>
      <c r="FA421"/>
      <c r="FB421"/>
      <c r="FC421"/>
      <c r="FD421"/>
      <c r="FE421"/>
      <c r="FF421"/>
      <c r="FG421"/>
      <c r="FH421"/>
      <c r="FI421"/>
      <c r="FJ421"/>
      <c r="FK421"/>
      <c r="FL421"/>
      <c r="FM421"/>
      <c r="FN421"/>
      <c r="FO421"/>
      <c r="FP421"/>
      <c r="FQ421"/>
      <c r="FR421"/>
      <c r="FS421"/>
      <c r="FT421"/>
      <c r="FU421"/>
      <c r="FV421"/>
      <c r="FW421"/>
      <c r="FX421"/>
      <c r="FY421"/>
      <c r="FZ421"/>
      <c r="GA421"/>
      <c r="GB421"/>
      <c r="GC421"/>
      <c r="GD421"/>
      <c r="GE421"/>
      <c r="GF421"/>
      <c r="GG421"/>
      <c r="GH421"/>
      <c r="GI421"/>
      <c r="GJ421"/>
      <c r="GK421"/>
      <c r="GL421"/>
      <c r="GM421"/>
      <c r="GN421"/>
      <c r="GO421"/>
      <c r="GP421"/>
      <c r="GQ421"/>
      <c r="GR421"/>
      <c r="GS421"/>
      <c r="GT421"/>
      <c r="GU421"/>
      <c r="GV421"/>
      <c r="GW421"/>
      <c r="GX421"/>
      <c r="GY421"/>
      <c r="GZ421"/>
      <c r="HA421"/>
      <c r="HB421"/>
      <c r="HC421"/>
      <c r="HD421"/>
      <c r="HE421"/>
      <c r="HF421"/>
      <c r="HG421"/>
      <c r="HH421"/>
      <c r="HI421"/>
      <c r="HJ421"/>
      <c r="HK421"/>
      <c r="HL421"/>
      <c r="HM421"/>
      <c r="HN421"/>
      <c r="HO421"/>
      <c r="HP421"/>
      <c r="HQ421"/>
      <c r="HR421"/>
      <c r="HS421"/>
      <c r="HT421"/>
      <c r="HU421"/>
      <c r="HV421"/>
      <c r="HW421"/>
      <c r="HX421"/>
      <c r="HY421"/>
      <c r="HZ421"/>
      <c r="IA421"/>
      <c r="IB421"/>
      <c r="IC421"/>
      <c r="ID421"/>
      <c r="IE421"/>
      <c r="IF421"/>
      <c r="IG421"/>
      <c r="IH421"/>
      <c r="II421"/>
      <c r="IJ421"/>
      <c r="IK421"/>
      <c r="IL421"/>
      <c r="IM421"/>
      <c r="IN421"/>
      <c r="IO421"/>
      <c r="IP421"/>
      <c r="IQ421"/>
      <c r="IR421"/>
      <c r="IS421"/>
      <c r="IT421"/>
      <c r="IU421"/>
      <c r="IV421"/>
      <c r="IW421"/>
      <c r="IX421"/>
      <c r="IY421"/>
      <c r="IZ421"/>
      <c r="JA421"/>
      <c r="JB421"/>
      <c r="JC421"/>
      <c r="JD421"/>
      <c r="JE421"/>
      <c r="JF421"/>
      <c r="JG421"/>
      <c r="JH421"/>
      <c r="JI421"/>
      <c r="JJ421"/>
      <c r="JK421"/>
      <c r="JL421"/>
      <c r="JM421"/>
      <c r="JN421"/>
      <c r="JO421"/>
      <c r="JP421"/>
      <c r="JQ421"/>
      <c r="JR421"/>
      <c r="JS421"/>
      <c r="JT421"/>
      <c r="JU421"/>
      <c r="JV421"/>
      <c r="JW421"/>
      <c r="JX421"/>
      <c r="JY421"/>
      <c r="JZ421"/>
      <c r="KA421"/>
      <c r="KB421"/>
      <c r="KC421"/>
      <c r="KD421"/>
      <c r="KE421"/>
      <c r="KF421"/>
      <c r="KG421"/>
      <c r="KH421"/>
      <c r="KI421"/>
      <c r="KJ421"/>
      <c r="KK421"/>
      <c r="KL421"/>
      <c r="KM421"/>
      <c r="KN421"/>
      <c r="KO421"/>
      <c r="KP421"/>
      <c r="KQ421"/>
      <c r="KR421"/>
      <c r="KS421"/>
    </row>
    <row r="422" spans="2:305" hidden="1" x14ac:dyDescent="0.25">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c r="EN422"/>
      <c r="EO422"/>
      <c r="EP422"/>
      <c r="EQ422"/>
      <c r="ER422"/>
      <c r="ES422"/>
      <c r="ET422"/>
      <c r="EU422"/>
      <c r="EV422"/>
      <c r="EW422"/>
      <c r="EX422"/>
      <c r="EY422"/>
      <c r="EZ422"/>
      <c r="FA422"/>
      <c r="FB422"/>
      <c r="FC422"/>
      <c r="FD422"/>
      <c r="FE422"/>
      <c r="FF422"/>
      <c r="FG422"/>
      <c r="FH422"/>
      <c r="FI422"/>
      <c r="FJ422"/>
      <c r="FK422"/>
      <c r="FL422"/>
      <c r="FM422"/>
      <c r="FN422"/>
      <c r="FO422"/>
      <c r="FP422"/>
      <c r="FQ422"/>
      <c r="FR422"/>
      <c r="FS422"/>
      <c r="FT422"/>
      <c r="FU422"/>
      <c r="FV422"/>
      <c r="FW422"/>
      <c r="FX422"/>
      <c r="FY422"/>
      <c r="FZ422"/>
      <c r="GA422"/>
      <c r="GB422"/>
      <c r="GC422"/>
      <c r="GD422"/>
      <c r="GE422"/>
      <c r="GF422"/>
      <c r="GG422"/>
      <c r="GH422"/>
      <c r="GI422"/>
      <c r="GJ422"/>
      <c r="GK422"/>
      <c r="GL422"/>
      <c r="GM422"/>
      <c r="GN422"/>
      <c r="GO422"/>
      <c r="GP422"/>
      <c r="GQ422"/>
      <c r="GR422"/>
      <c r="GS422"/>
      <c r="GT422"/>
      <c r="GU422"/>
      <c r="GV422"/>
      <c r="GW422"/>
      <c r="GX422"/>
      <c r="GY422"/>
      <c r="GZ422"/>
      <c r="HA422"/>
      <c r="HB422"/>
      <c r="HC422"/>
      <c r="HD422"/>
      <c r="HE422"/>
      <c r="HF422"/>
      <c r="HG422"/>
      <c r="HH422"/>
      <c r="HI422"/>
      <c r="HJ422"/>
      <c r="HK422"/>
      <c r="HL422"/>
      <c r="HM422"/>
      <c r="HN422"/>
      <c r="HO422"/>
      <c r="HP422"/>
      <c r="HQ422"/>
      <c r="HR422"/>
      <c r="HS422"/>
      <c r="HT422"/>
      <c r="HU422"/>
      <c r="HV422"/>
      <c r="HW422"/>
      <c r="HX422"/>
      <c r="HY422"/>
      <c r="HZ422"/>
      <c r="IA422"/>
      <c r="IB422"/>
      <c r="IC422"/>
      <c r="ID422"/>
      <c r="IE422"/>
      <c r="IF422"/>
      <c r="IG422"/>
      <c r="IH422"/>
      <c r="II422"/>
      <c r="IJ422"/>
      <c r="IK422"/>
      <c r="IL422"/>
      <c r="IM422"/>
      <c r="IN422"/>
      <c r="IO422"/>
      <c r="IP422"/>
      <c r="IQ422"/>
      <c r="IR422"/>
      <c r="IS422"/>
      <c r="IT422"/>
      <c r="IU422"/>
      <c r="IV422"/>
      <c r="IW422"/>
      <c r="IX422"/>
      <c r="IY422"/>
      <c r="IZ422"/>
      <c r="JA422"/>
      <c r="JB422"/>
      <c r="JC422"/>
      <c r="JD422"/>
      <c r="JE422"/>
      <c r="JF422"/>
      <c r="JG422"/>
      <c r="JH422"/>
      <c r="JI422"/>
      <c r="JJ422"/>
      <c r="JK422"/>
      <c r="JL422"/>
      <c r="JM422"/>
      <c r="JN422"/>
      <c r="JO422"/>
      <c r="JP422"/>
      <c r="JQ422"/>
      <c r="JR422"/>
      <c r="JS422"/>
      <c r="JT422"/>
      <c r="JU422"/>
      <c r="JV422"/>
      <c r="JW422"/>
      <c r="JX422"/>
      <c r="JY422"/>
      <c r="JZ422"/>
      <c r="KA422"/>
      <c r="KB422"/>
      <c r="KC422"/>
      <c r="KD422"/>
      <c r="KE422"/>
      <c r="KF422"/>
      <c r="KG422"/>
      <c r="KH422"/>
      <c r="KI422"/>
      <c r="KJ422"/>
      <c r="KK422"/>
      <c r="KL422"/>
      <c r="KM422"/>
      <c r="KN422"/>
      <c r="KO422"/>
      <c r="KP422"/>
      <c r="KQ422"/>
      <c r="KR422"/>
      <c r="KS422"/>
    </row>
    <row r="423" spans="2:305" hidden="1" x14ac:dyDescent="0.25">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c r="DF423"/>
      <c r="DG423"/>
      <c r="DH423"/>
      <c r="DI423"/>
      <c r="DJ423"/>
      <c r="DK423"/>
      <c r="DL423"/>
      <c r="DM423"/>
      <c r="DN423"/>
      <c r="DO423"/>
      <c r="DP423"/>
      <c r="DQ423"/>
      <c r="DR423"/>
      <c r="DS423"/>
      <c r="DT423"/>
      <c r="DU423"/>
      <c r="DV423"/>
      <c r="DW423"/>
      <c r="DX423"/>
      <c r="DY423"/>
      <c r="DZ423"/>
      <c r="EA423"/>
      <c r="EB423"/>
      <c r="EC423"/>
      <c r="ED423"/>
      <c r="EE423"/>
      <c r="EF423"/>
      <c r="EG423"/>
      <c r="EH423"/>
      <c r="EI423"/>
      <c r="EJ423"/>
      <c r="EK423"/>
      <c r="EL423"/>
      <c r="EM423"/>
      <c r="EN423"/>
      <c r="EO423"/>
      <c r="EP423"/>
      <c r="EQ423"/>
      <c r="ER423"/>
      <c r="ES423"/>
      <c r="ET423"/>
      <c r="EU423"/>
      <c r="EV423"/>
      <c r="EW423"/>
      <c r="EX423"/>
      <c r="EY423"/>
      <c r="EZ423"/>
      <c r="FA423"/>
      <c r="FB423"/>
      <c r="FC423"/>
      <c r="FD423"/>
      <c r="FE423"/>
      <c r="FF423"/>
      <c r="FG423"/>
      <c r="FH423"/>
      <c r="FI423"/>
      <c r="FJ423"/>
      <c r="FK423"/>
      <c r="FL423"/>
      <c r="FM423"/>
      <c r="FN423"/>
      <c r="FO423"/>
      <c r="FP423"/>
      <c r="FQ423"/>
      <c r="FR423"/>
      <c r="FS423"/>
      <c r="FT423"/>
      <c r="FU423"/>
      <c r="FV423"/>
      <c r="FW423"/>
      <c r="FX423"/>
      <c r="FY423"/>
      <c r="FZ423"/>
      <c r="GA423"/>
      <c r="GB423"/>
      <c r="GC423"/>
      <c r="GD423"/>
      <c r="GE423"/>
      <c r="GF423"/>
      <c r="GG423"/>
      <c r="GH423"/>
      <c r="GI423"/>
      <c r="GJ423"/>
      <c r="GK423"/>
      <c r="GL423"/>
      <c r="GM423"/>
      <c r="GN423"/>
      <c r="GO423"/>
      <c r="GP423"/>
      <c r="GQ423"/>
      <c r="GR423"/>
      <c r="GS423"/>
      <c r="GT423"/>
      <c r="GU423"/>
      <c r="GV423"/>
      <c r="GW423"/>
      <c r="GX423"/>
      <c r="GY423"/>
      <c r="GZ423"/>
      <c r="HA423"/>
      <c r="HB423"/>
      <c r="HC423"/>
      <c r="HD423"/>
      <c r="HE423"/>
      <c r="HF423"/>
      <c r="HG423"/>
      <c r="HH423"/>
      <c r="HI423"/>
      <c r="HJ423"/>
      <c r="HK423"/>
      <c r="HL423"/>
      <c r="HM423"/>
      <c r="HN423"/>
      <c r="HO423"/>
      <c r="HP423"/>
      <c r="HQ423"/>
      <c r="HR423"/>
      <c r="HS423"/>
      <c r="HT423"/>
      <c r="HU423"/>
      <c r="HV423"/>
      <c r="HW423"/>
      <c r="HX423"/>
      <c r="HY423"/>
      <c r="HZ423"/>
      <c r="IA423"/>
      <c r="IB423"/>
      <c r="IC423"/>
      <c r="ID423"/>
      <c r="IE423"/>
      <c r="IF423"/>
      <c r="IG423"/>
      <c r="IH423"/>
      <c r="II423"/>
      <c r="IJ423"/>
      <c r="IK423"/>
      <c r="IL423"/>
      <c r="IM423"/>
      <c r="IN423"/>
      <c r="IO423"/>
      <c r="IP423"/>
      <c r="IQ423"/>
      <c r="IR423"/>
      <c r="IS423"/>
      <c r="IT423"/>
      <c r="IU423"/>
      <c r="IV423"/>
      <c r="IW423"/>
      <c r="IX423"/>
      <c r="IY423"/>
      <c r="IZ423"/>
      <c r="JA423"/>
      <c r="JB423"/>
      <c r="JC423"/>
      <c r="JD423"/>
      <c r="JE423"/>
      <c r="JF423"/>
      <c r="JG423"/>
      <c r="JH423"/>
      <c r="JI423"/>
      <c r="JJ423"/>
      <c r="JK423"/>
      <c r="JL423"/>
      <c r="JM423"/>
      <c r="JN423"/>
      <c r="JO423"/>
      <c r="JP423"/>
      <c r="JQ423"/>
      <c r="JR423"/>
      <c r="JS423"/>
      <c r="JT423"/>
      <c r="JU423"/>
      <c r="JV423"/>
      <c r="JW423"/>
      <c r="JX423"/>
      <c r="JY423"/>
      <c r="JZ423"/>
      <c r="KA423"/>
      <c r="KB423"/>
      <c r="KC423"/>
      <c r="KD423"/>
      <c r="KE423"/>
      <c r="KF423"/>
      <c r="KG423"/>
      <c r="KH423"/>
      <c r="KI423"/>
      <c r="KJ423"/>
      <c r="KK423"/>
      <c r="KL423"/>
      <c r="KM423"/>
      <c r="KN423"/>
      <c r="KO423"/>
      <c r="KP423"/>
      <c r="KQ423"/>
      <c r="KR423"/>
      <c r="KS423"/>
    </row>
    <row r="424" spans="2:305" hidden="1" x14ac:dyDescent="0.25">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c r="DF424"/>
      <c r="DG424"/>
      <c r="DH424"/>
      <c r="DI424"/>
      <c r="DJ424"/>
      <c r="DK424"/>
      <c r="DL424"/>
      <c r="DM424"/>
      <c r="DN424"/>
      <c r="DO424"/>
      <c r="DP424"/>
      <c r="DQ424"/>
      <c r="DR424"/>
      <c r="DS424"/>
      <c r="DT424"/>
      <c r="DU424"/>
      <c r="DV424"/>
      <c r="DW424"/>
      <c r="DX424"/>
      <c r="DY424"/>
      <c r="DZ424"/>
      <c r="EA424"/>
      <c r="EB424"/>
      <c r="EC424"/>
      <c r="ED424"/>
      <c r="EE424"/>
      <c r="EF424"/>
      <c r="EG424"/>
      <c r="EH424"/>
      <c r="EI424"/>
      <c r="EJ424"/>
      <c r="EK424"/>
      <c r="EL424"/>
      <c r="EM424"/>
      <c r="EN424"/>
      <c r="EO424"/>
      <c r="EP424"/>
      <c r="EQ424"/>
      <c r="ER424"/>
      <c r="ES424"/>
      <c r="ET424"/>
      <c r="EU424"/>
      <c r="EV424"/>
      <c r="EW424"/>
      <c r="EX424"/>
      <c r="EY424"/>
      <c r="EZ424"/>
      <c r="FA424"/>
      <c r="FB424"/>
      <c r="FC424"/>
      <c r="FD424"/>
      <c r="FE424"/>
      <c r="FF424"/>
      <c r="FG424"/>
      <c r="FH424"/>
      <c r="FI424"/>
      <c r="FJ424"/>
      <c r="FK424"/>
      <c r="FL424"/>
      <c r="FM424"/>
      <c r="FN424"/>
      <c r="FO424"/>
      <c r="FP424"/>
      <c r="FQ424"/>
      <c r="FR424"/>
      <c r="FS424"/>
      <c r="FT424"/>
      <c r="FU424"/>
      <c r="FV424"/>
      <c r="FW424"/>
      <c r="FX424"/>
      <c r="FY424"/>
      <c r="FZ424"/>
      <c r="GA424"/>
      <c r="GB424"/>
      <c r="GC424"/>
      <c r="GD424"/>
      <c r="GE424"/>
      <c r="GF424"/>
      <c r="GG424"/>
      <c r="GH424"/>
      <c r="GI424"/>
      <c r="GJ424"/>
      <c r="GK424"/>
      <c r="GL424"/>
      <c r="GM424"/>
      <c r="GN424"/>
      <c r="GO424"/>
      <c r="GP424"/>
      <c r="GQ424"/>
      <c r="GR424"/>
      <c r="GS424"/>
      <c r="GT424"/>
      <c r="GU424"/>
      <c r="GV424"/>
      <c r="GW424"/>
      <c r="GX424"/>
      <c r="GY424"/>
      <c r="GZ424"/>
      <c r="HA424"/>
      <c r="HB424"/>
      <c r="HC424"/>
      <c r="HD424"/>
      <c r="HE424"/>
      <c r="HF424"/>
      <c r="HG424"/>
      <c r="HH424"/>
      <c r="HI424"/>
      <c r="HJ424"/>
      <c r="HK424"/>
      <c r="HL424"/>
      <c r="HM424"/>
      <c r="HN424"/>
      <c r="HO424"/>
      <c r="HP424"/>
      <c r="HQ424"/>
      <c r="HR424"/>
      <c r="HS424"/>
      <c r="HT424"/>
      <c r="HU424"/>
      <c r="HV424"/>
      <c r="HW424"/>
      <c r="HX424"/>
      <c r="HY424"/>
      <c r="HZ424"/>
      <c r="IA424"/>
      <c r="IB424"/>
      <c r="IC424"/>
      <c r="ID424"/>
      <c r="IE424"/>
      <c r="IF424"/>
      <c r="IG424"/>
      <c r="IH424"/>
      <c r="II424"/>
      <c r="IJ424"/>
      <c r="IK424"/>
      <c r="IL424"/>
      <c r="IM424"/>
      <c r="IN424"/>
      <c r="IO424"/>
      <c r="IP424"/>
      <c r="IQ424"/>
      <c r="IR424"/>
      <c r="IS424"/>
      <c r="IT424"/>
      <c r="IU424"/>
      <c r="IV424"/>
      <c r="IW424"/>
      <c r="IX424"/>
      <c r="IY424"/>
      <c r="IZ424"/>
      <c r="JA424"/>
      <c r="JB424"/>
      <c r="JC424"/>
      <c r="JD424"/>
      <c r="JE424"/>
      <c r="JF424"/>
      <c r="JG424"/>
      <c r="JH424"/>
      <c r="JI424"/>
      <c r="JJ424"/>
      <c r="JK424"/>
      <c r="JL424"/>
      <c r="JM424"/>
      <c r="JN424"/>
      <c r="JO424"/>
      <c r="JP424"/>
      <c r="JQ424"/>
      <c r="JR424"/>
      <c r="JS424"/>
      <c r="JT424"/>
      <c r="JU424"/>
      <c r="JV424"/>
      <c r="JW424"/>
      <c r="JX424"/>
      <c r="JY424"/>
      <c r="JZ424"/>
      <c r="KA424"/>
      <c r="KB424"/>
      <c r="KC424"/>
      <c r="KD424"/>
      <c r="KE424"/>
      <c r="KF424"/>
      <c r="KG424"/>
      <c r="KH424"/>
      <c r="KI424"/>
      <c r="KJ424"/>
      <c r="KK424"/>
      <c r="KL424"/>
      <c r="KM424"/>
      <c r="KN424"/>
      <c r="KO424"/>
      <c r="KP424"/>
      <c r="KQ424"/>
      <c r="KR424"/>
      <c r="KS424"/>
    </row>
    <row r="425" spans="2:305" hidden="1" x14ac:dyDescent="0.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c r="DF425"/>
      <c r="DG425"/>
      <c r="DH425"/>
      <c r="DI425"/>
      <c r="DJ425"/>
      <c r="DK425"/>
      <c r="DL425"/>
      <c r="DM425"/>
      <c r="DN425"/>
      <c r="DO425"/>
      <c r="DP425"/>
      <c r="DQ425"/>
      <c r="DR425"/>
      <c r="DS425"/>
      <c r="DT425"/>
      <c r="DU425"/>
      <c r="DV425"/>
      <c r="DW425"/>
      <c r="DX425"/>
      <c r="DY425"/>
      <c r="DZ425"/>
      <c r="EA425"/>
      <c r="EB425"/>
      <c r="EC425"/>
      <c r="ED425"/>
      <c r="EE425"/>
      <c r="EF425"/>
      <c r="EG425"/>
      <c r="EH425"/>
      <c r="EI425"/>
      <c r="EJ425"/>
      <c r="EK425"/>
      <c r="EL425"/>
      <c r="EM425"/>
      <c r="EN425"/>
      <c r="EO425"/>
      <c r="EP425"/>
      <c r="EQ425"/>
      <c r="ER425"/>
      <c r="ES425"/>
      <c r="ET425"/>
      <c r="EU425"/>
      <c r="EV425"/>
      <c r="EW425"/>
      <c r="EX425"/>
      <c r="EY425"/>
      <c r="EZ425"/>
      <c r="FA425"/>
      <c r="FB425"/>
      <c r="FC425"/>
      <c r="FD425"/>
      <c r="FE425"/>
      <c r="FF425"/>
      <c r="FG425"/>
      <c r="FH425"/>
      <c r="FI425"/>
      <c r="FJ425"/>
      <c r="FK425"/>
      <c r="FL425"/>
      <c r="FM425"/>
      <c r="FN425"/>
      <c r="FO425"/>
      <c r="FP425"/>
      <c r="FQ425"/>
      <c r="FR425"/>
      <c r="FS425"/>
      <c r="FT425"/>
      <c r="FU425"/>
      <c r="FV425"/>
      <c r="FW425"/>
      <c r="FX425"/>
      <c r="FY425"/>
      <c r="FZ425"/>
      <c r="GA425"/>
      <c r="GB425"/>
      <c r="GC425"/>
      <c r="GD425"/>
      <c r="GE425"/>
      <c r="GF425"/>
      <c r="GG425"/>
      <c r="GH425"/>
      <c r="GI425"/>
      <c r="GJ425"/>
      <c r="GK425"/>
      <c r="GL425"/>
      <c r="GM425"/>
      <c r="GN425"/>
      <c r="GO425"/>
      <c r="GP425"/>
      <c r="GQ425"/>
      <c r="GR425"/>
      <c r="GS425"/>
      <c r="GT425"/>
      <c r="GU425"/>
      <c r="GV425"/>
      <c r="GW425"/>
      <c r="GX425"/>
      <c r="GY425"/>
      <c r="GZ425"/>
      <c r="HA425"/>
      <c r="HB425"/>
      <c r="HC425"/>
      <c r="HD425"/>
      <c r="HE425"/>
      <c r="HF425"/>
      <c r="HG425"/>
      <c r="HH425"/>
      <c r="HI425"/>
      <c r="HJ425"/>
      <c r="HK425"/>
      <c r="HL425"/>
      <c r="HM425"/>
      <c r="HN425"/>
      <c r="HO425"/>
      <c r="HP425"/>
      <c r="HQ425"/>
      <c r="HR425"/>
      <c r="HS425"/>
      <c r="HT425"/>
      <c r="HU425"/>
      <c r="HV425"/>
      <c r="HW425"/>
      <c r="HX425"/>
      <c r="HY425"/>
      <c r="HZ425"/>
      <c r="IA425"/>
      <c r="IB425"/>
      <c r="IC425"/>
      <c r="ID425"/>
      <c r="IE425"/>
      <c r="IF425"/>
      <c r="IG425"/>
      <c r="IH425"/>
      <c r="II425"/>
      <c r="IJ425"/>
      <c r="IK425"/>
      <c r="IL425"/>
      <c r="IM425"/>
      <c r="IN425"/>
      <c r="IO425"/>
      <c r="IP425"/>
      <c r="IQ425"/>
      <c r="IR425"/>
      <c r="IS425"/>
      <c r="IT425"/>
      <c r="IU425"/>
      <c r="IV425"/>
      <c r="IW425"/>
      <c r="IX425"/>
      <c r="IY425"/>
      <c r="IZ425"/>
      <c r="JA425"/>
      <c r="JB425"/>
      <c r="JC425"/>
      <c r="JD425"/>
      <c r="JE425"/>
      <c r="JF425"/>
      <c r="JG425"/>
      <c r="JH425"/>
      <c r="JI425"/>
      <c r="JJ425"/>
      <c r="JK425"/>
      <c r="JL425"/>
      <c r="JM425"/>
      <c r="JN425"/>
      <c r="JO425"/>
      <c r="JP425"/>
      <c r="JQ425"/>
      <c r="JR425"/>
      <c r="JS425"/>
      <c r="JT425"/>
      <c r="JU425"/>
      <c r="JV425"/>
      <c r="JW425"/>
      <c r="JX425"/>
      <c r="JY425"/>
      <c r="JZ425"/>
      <c r="KA425"/>
      <c r="KB425"/>
      <c r="KC425"/>
      <c r="KD425"/>
      <c r="KE425"/>
      <c r="KF425"/>
      <c r="KG425"/>
      <c r="KH425"/>
      <c r="KI425"/>
      <c r="KJ425"/>
      <c r="KK425"/>
      <c r="KL425"/>
      <c r="KM425"/>
      <c r="KN425"/>
      <c r="KO425"/>
      <c r="KP425"/>
      <c r="KQ425"/>
      <c r="KR425"/>
      <c r="KS425"/>
    </row>
    <row r="426" spans="2:305" hidden="1" x14ac:dyDescent="0.25">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c r="DF426"/>
      <c r="DG426"/>
      <c r="DH426"/>
      <c r="DI426"/>
      <c r="DJ426"/>
      <c r="DK426"/>
      <c r="DL426"/>
      <c r="DM426"/>
      <c r="DN426"/>
      <c r="DO426"/>
      <c r="DP426"/>
      <c r="DQ426"/>
      <c r="DR426"/>
      <c r="DS426"/>
      <c r="DT426"/>
      <c r="DU426"/>
      <c r="DV426"/>
      <c r="DW426"/>
      <c r="DX426"/>
      <c r="DY426"/>
      <c r="DZ426"/>
      <c r="EA426"/>
      <c r="EB426"/>
      <c r="EC426"/>
      <c r="ED426"/>
      <c r="EE426"/>
      <c r="EF426"/>
      <c r="EG426"/>
      <c r="EH426"/>
      <c r="EI426"/>
      <c r="EJ426"/>
      <c r="EK426"/>
      <c r="EL426"/>
      <c r="EM426"/>
      <c r="EN426"/>
      <c r="EO426"/>
      <c r="EP426"/>
      <c r="EQ426"/>
      <c r="ER426"/>
      <c r="ES426"/>
      <c r="ET426"/>
      <c r="EU426"/>
      <c r="EV426"/>
      <c r="EW426"/>
      <c r="EX426"/>
      <c r="EY426"/>
      <c r="EZ426"/>
      <c r="FA426"/>
      <c r="FB426"/>
      <c r="FC426"/>
      <c r="FD426"/>
      <c r="FE426"/>
      <c r="FF426"/>
      <c r="FG426"/>
      <c r="FH426"/>
      <c r="FI426"/>
      <c r="FJ426"/>
      <c r="FK426"/>
      <c r="FL426"/>
      <c r="FM426"/>
      <c r="FN426"/>
      <c r="FO426"/>
      <c r="FP426"/>
      <c r="FQ426"/>
      <c r="FR426"/>
      <c r="FS426"/>
      <c r="FT426"/>
      <c r="FU426"/>
      <c r="FV426"/>
      <c r="FW426"/>
      <c r="FX426"/>
      <c r="FY426"/>
      <c r="FZ426"/>
      <c r="GA426"/>
      <c r="GB426"/>
      <c r="GC426"/>
      <c r="GD426"/>
      <c r="GE426"/>
      <c r="GF426"/>
      <c r="GG426"/>
      <c r="GH426"/>
      <c r="GI426"/>
      <c r="GJ426"/>
      <c r="GK426"/>
      <c r="GL426"/>
      <c r="GM426"/>
      <c r="GN426"/>
      <c r="GO426"/>
      <c r="GP426"/>
      <c r="GQ426"/>
      <c r="GR426"/>
      <c r="GS426"/>
      <c r="GT426"/>
      <c r="GU426"/>
      <c r="GV426"/>
      <c r="GW426"/>
      <c r="GX426"/>
      <c r="GY426"/>
      <c r="GZ426"/>
      <c r="HA426"/>
      <c r="HB426"/>
      <c r="HC426"/>
      <c r="HD426"/>
      <c r="HE426"/>
      <c r="HF426"/>
      <c r="HG426"/>
      <c r="HH426"/>
      <c r="HI426"/>
      <c r="HJ426"/>
      <c r="HK426"/>
      <c r="HL426"/>
      <c r="HM426"/>
      <c r="HN426"/>
      <c r="HO426"/>
      <c r="HP426"/>
      <c r="HQ426"/>
      <c r="HR426"/>
      <c r="HS426"/>
      <c r="HT426"/>
      <c r="HU426"/>
      <c r="HV426"/>
      <c r="HW426"/>
      <c r="HX426"/>
      <c r="HY426"/>
      <c r="HZ426"/>
      <c r="IA426"/>
      <c r="IB426"/>
      <c r="IC426"/>
      <c r="ID426"/>
      <c r="IE426"/>
      <c r="IF426"/>
      <c r="IG426"/>
      <c r="IH426"/>
      <c r="II426"/>
      <c r="IJ426"/>
      <c r="IK426"/>
      <c r="IL426"/>
      <c r="IM426"/>
      <c r="IN426"/>
      <c r="IO426"/>
      <c r="IP426"/>
      <c r="IQ426"/>
      <c r="IR426"/>
      <c r="IS426"/>
      <c r="IT426"/>
      <c r="IU426"/>
      <c r="IV426"/>
      <c r="IW426"/>
      <c r="IX426"/>
      <c r="IY426"/>
      <c r="IZ426"/>
      <c r="JA426"/>
      <c r="JB426"/>
      <c r="JC426"/>
      <c r="JD426"/>
      <c r="JE426"/>
      <c r="JF426"/>
      <c r="JG426"/>
      <c r="JH426"/>
      <c r="JI426"/>
      <c r="JJ426"/>
      <c r="JK426"/>
      <c r="JL426"/>
      <c r="JM426"/>
      <c r="JN426"/>
      <c r="JO426"/>
      <c r="JP426"/>
      <c r="JQ426"/>
      <c r="JR426"/>
      <c r="JS426"/>
      <c r="JT426"/>
      <c r="JU426"/>
      <c r="JV426"/>
      <c r="JW426"/>
      <c r="JX426"/>
      <c r="JY426"/>
      <c r="JZ426"/>
      <c r="KA426"/>
      <c r="KB426"/>
      <c r="KC426"/>
      <c r="KD426"/>
      <c r="KE426"/>
      <c r="KF426"/>
      <c r="KG426"/>
      <c r="KH426"/>
      <c r="KI426"/>
      <c r="KJ426"/>
      <c r="KK426"/>
      <c r="KL426"/>
      <c r="KM426"/>
      <c r="KN426"/>
      <c r="KO426"/>
      <c r="KP426"/>
      <c r="KQ426"/>
      <c r="KR426"/>
      <c r="KS426"/>
    </row>
    <row r="427" spans="2:305" hidden="1" x14ac:dyDescent="0.25">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c r="DF427"/>
      <c r="DG427"/>
      <c r="DH427"/>
      <c r="DI427"/>
      <c r="DJ427"/>
      <c r="DK427"/>
      <c r="DL427"/>
      <c r="DM427"/>
      <c r="DN427"/>
      <c r="DO427"/>
      <c r="DP427"/>
      <c r="DQ427"/>
      <c r="DR427"/>
      <c r="DS427"/>
      <c r="DT427"/>
      <c r="DU427"/>
      <c r="DV427"/>
      <c r="DW427"/>
      <c r="DX427"/>
      <c r="DY427"/>
      <c r="DZ427"/>
      <c r="EA427"/>
      <c r="EB427"/>
      <c r="EC427"/>
      <c r="ED427"/>
      <c r="EE427"/>
      <c r="EF427"/>
      <c r="EG427"/>
      <c r="EH427"/>
      <c r="EI427"/>
      <c r="EJ427"/>
      <c r="EK427"/>
      <c r="EL427"/>
      <c r="EM427"/>
      <c r="EN427"/>
      <c r="EO427"/>
      <c r="EP427"/>
      <c r="EQ427"/>
      <c r="ER427"/>
      <c r="ES427"/>
      <c r="ET427"/>
      <c r="EU427"/>
      <c r="EV427"/>
      <c r="EW427"/>
      <c r="EX427"/>
      <c r="EY427"/>
      <c r="EZ427"/>
      <c r="FA427"/>
      <c r="FB427"/>
      <c r="FC427"/>
      <c r="FD427"/>
      <c r="FE427"/>
      <c r="FF427"/>
      <c r="FG427"/>
      <c r="FH427"/>
      <c r="FI427"/>
      <c r="FJ427"/>
      <c r="FK427"/>
      <c r="FL427"/>
      <c r="FM427"/>
      <c r="FN427"/>
      <c r="FO427"/>
      <c r="FP427"/>
      <c r="FQ427"/>
      <c r="FR427"/>
      <c r="FS427"/>
      <c r="FT427"/>
      <c r="FU427"/>
      <c r="FV427"/>
      <c r="FW427"/>
      <c r="FX427"/>
      <c r="FY427"/>
      <c r="FZ427"/>
      <c r="GA427"/>
      <c r="GB427"/>
      <c r="GC427"/>
      <c r="GD427"/>
      <c r="GE427"/>
      <c r="GF427"/>
      <c r="GG427"/>
      <c r="GH427"/>
      <c r="GI427"/>
      <c r="GJ427"/>
      <c r="GK427"/>
      <c r="GL427"/>
      <c r="GM427"/>
      <c r="GN427"/>
      <c r="GO427"/>
      <c r="GP427"/>
      <c r="GQ427"/>
      <c r="GR427"/>
      <c r="GS427"/>
      <c r="GT427"/>
      <c r="GU427"/>
      <c r="GV427"/>
      <c r="GW427"/>
      <c r="GX427"/>
      <c r="GY427"/>
      <c r="GZ427"/>
      <c r="HA427"/>
      <c r="HB427"/>
      <c r="HC427"/>
      <c r="HD427"/>
      <c r="HE427"/>
      <c r="HF427"/>
      <c r="HG427"/>
      <c r="HH427"/>
      <c r="HI427"/>
      <c r="HJ427"/>
      <c r="HK427"/>
      <c r="HL427"/>
      <c r="HM427"/>
      <c r="HN427"/>
      <c r="HO427"/>
      <c r="HP427"/>
      <c r="HQ427"/>
      <c r="HR427"/>
      <c r="HS427"/>
      <c r="HT427"/>
      <c r="HU427"/>
      <c r="HV427"/>
      <c r="HW427"/>
      <c r="HX427"/>
      <c r="HY427"/>
      <c r="HZ427"/>
      <c r="IA427"/>
      <c r="IB427"/>
      <c r="IC427"/>
      <c r="ID427"/>
      <c r="IE427"/>
      <c r="IF427"/>
      <c r="IG427"/>
      <c r="IH427"/>
      <c r="II427"/>
      <c r="IJ427"/>
      <c r="IK427"/>
      <c r="IL427"/>
      <c r="IM427"/>
      <c r="IN427"/>
      <c r="IO427"/>
      <c r="IP427"/>
      <c r="IQ427"/>
      <c r="IR427"/>
      <c r="IS427"/>
      <c r="IT427"/>
      <c r="IU427"/>
      <c r="IV427"/>
      <c r="IW427"/>
      <c r="IX427"/>
      <c r="IY427"/>
      <c r="IZ427"/>
      <c r="JA427"/>
      <c r="JB427"/>
      <c r="JC427"/>
      <c r="JD427"/>
      <c r="JE427"/>
      <c r="JF427"/>
      <c r="JG427"/>
      <c r="JH427"/>
      <c r="JI427"/>
      <c r="JJ427"/>
      <c r="JK427"/>
      <c r="JL427"/>
      <c r="JM427"/>
      <c r="JN427"/>
      <c r="JO427"/>
      <c r="JP427"/>
      <c r="JQ427"/>
      <c r="JR427"/>
      <c r="JS427"/>
      <c r="JT427"/>
      <c r="JU427"/>
      <c r="JV427"/>
      <c r="JW427"/>
      <c r="JX427"/>
      <c r="JY427"/>
      <c r="JZ427"/>
      <c r="KA427"/>
      <c r="KB427"/>
      <c r="KC427"/>
      <c r="KD427"/>
      <c r="KE427"/>
      <c r="KF427"/>
      <c r="KG427"/>
      <c r="KH427"/>
      <c r="KI427"/>
      <c r="KJ427"/>
      <c r="KK427"/>
      <c r="KL427"/>
      <c r="KM427"/>
      <c r="KN427"/>
      <c r="KO427"/>
      <c r="KP427"/>
      <c r="KQ427"/>
      <c r="KR427"/>
      <c r="KS427"/>
    </row>
    <row r="428" spans="2:305" hidden="1" x14ac:dyDescent="0.25">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c r="DF428"/>
      <c r="DG428"/>
      <c r="DH428"/>
      <c r="DI428"/>
      <c r="DJ428"/>
      <c r="DK428"/>
      <c r="DL428"/>
      <c r="DM428"/>
      <c r="DN428"/>
      <c r="DO428"/>
      <c r="DP428"/>
      <c r="DQ428"/>
      <c r="DR428"/>
      <c r="DS428"/>
      <c r="DT428"/>
      <c r="DU428"/>
      <c r="DV428"/>
      <c r="DW428"/>
      <c r="DX428"/>
      <c r="DY428"/>
      <c r="DZ428"/>
      <c r="EA428"/>
      <c r="EB428"/>
      <c r="EC428"/>
      <c r="ED428"/>
      <c r="EE428"/>
      <c r="EF428"/>
      <c r="EG428"/>
      <c r="EH428"/>
      <c r="EI428"/>
      <c r="EJ428"/>
      <c r="EK428"/>
      <c r="EL428"/>
      <c r="EM428"/>
      <c r="EN428"/>
      <c r="EO428"/>
      <c r="EP428"/>
      <c r="EQ428"/>
      <c r="ER428"/>
      <c r="ES428"/>
      <c r="ET428"/>
      <c r="EU428"/>
      <c r="EV428"/>
      <c r="EW428"/>
      <c r="EX428"/>
      <c r="EY428"/>
      <c r="EZ428"/>
      <c r="FA428"/>
      <c r="FB428"/>
      <c r="FC428"/>
      <c r="FD428"/>
      <c r="FE428"/>
      <c r="FF428"/>
      <c r="FG428"/>
      <c r="FH428"/>
      <c r="FI428"/>
      <c r="FJ428"/>
      <c r="FK428"/>
      <c r="FL428"/>
      <c r="FM428"/>
      <c r="FN428"/>
      <c r="FO428"/>
      <c r="FP428"/>
      <c r="FQ428"/>
      <c r="FR428"/>
      <c r="FS428"/>
      <c r="FT428"/>
      <c r="FU428"/>
      <c r="FV428"/>
      <c r="FW428"/>
      <c r="FX428"/>
      <c r="FY428"/>
      <c r="FZ428"/>
      <c r="GA428"/>
      <c r="GB428"/>
      <c r="GC428"/>
      <c r="GD428"/>
      <c r="GE428"/>
      <c r="GF428"/>
      <c r="GG428"/>
      <c r="GH428"/>
      <c r="GI428"/>
      <c r="GJ428"/>
      <c r="GK428"/>
      <c r="GL428"/>
      <c r="GM428"/>
      <c r="GN428"/>
      <c r="GO428"/>
      <c r="GP428"/>
      <c r="GQ428"/>
      <c r="GR428"/>
      <c r="GS428"/>
      <c r="GT428"/>
      <c r="GU428"/>
      <c r="GV428"/>
      <c r="GW428"/>
      <c r="GX428"/>
      <c r="GY428"/>
      <c r="GZ428"/>
      <c r="HA428"/>
      <c r="HB428"/>
      <c r="HC428"/>
      <c r="HD428"/>
      <c r="HE428"/>
      <c r="HF428"/>
      <c r="HG428"/>
      <c r="HH428"/>
      <c r="HI428"/>
      <c r="HJ428"/>
      <c r="HK428"/>
      <c r="HL428"/>
      <c r="HM428"/>
      <c r="HN428"/>
      <c r="HO428"/>
      <c r="HP428"/>
      <c r="HQ428"/>
      <c r="HR428"/>
      <c r="HS428"/>
      <c r="HT428"/>
      <c r="HU428"/>
      <c r="HV428"/>
      <c r="HW428"/>
      <c r="HX428"/>
      <c r="HY428"/>
      <c r="HZ428"/>
      <c r="IA428"/>
      <c r="IB428"/>
      <c r="IC428"/>
      <c r="ID428"/>
      <c r="IE428"/>
      <c r="IF428"/>
      <c r="IG428"/>
      <c r="IH428"/>
      <c r="II428"/>
      <c r="IJ428"/>
      <c r="IK428"/>
      <c r="IL428"/>
      <c r="IM428"/>
      <c r="IN428"/>
      <c r="IO428"/>
      <c r="IP428"/>
      <c r="IQ428"/>
      <c r="IR428"/>
      <c r="IS428"/>
      <c r="IT428"/>
      <c r="IU428"/>
      <c r="IV428"/>
      <c r="IW428"/>
      <c r="IX428"/>
      <c r="IY428"/>
      <c r="IZ428"/>
      <c r="JA428"/>
      <c r="JB428"/>
      <c r="JC428"/>
      <c r="JD428"/>
      <c r="JE428"/>
      <c r="JF428"/>
      <c r="JG428"/>
      <c r="JH428"/>
      <c r="JI428"/>
      <c r="JJ428"/>
      <c r="JK428"/>
      <c r="JL428"/>
      <c r="JM428"/>
      <c r="JN428"/>
      <c r="JO428"/>
      <c r="JP428"/>
      <c r="JQ428"/>
      <c r="JR428"/>
      <c r="JS428"/>
      <c r="JT428"/>
      <c r="JU428"/>
      <c r="JV428"/>
      <c r="JW428"/>
      <c r="JX428"/>
      <c r="JY428"/>
      <c r="JZ428"/>
      <c r="KA428"/>
      <c r="KB428"/>
      <c r="KC428"/>
      <c r="KD428"/>
      <c r="KE428"/>
      <c r="KF428"/>
      <c r="KG428"/>
      <c r="KH428"/>
      <c r="KI428"/>
      <c r="KJ428"/>
      <c r="KK428"/>
      <c r="KL428"/>
      <c r="KM428"/>
      <c r="KN428"/>
      <c r="KO428"/>
      <c r="KP428"/>
      <c r="KQ428"/>
      <c r="KR428"/>
      <c r="KS428"/>
    </row>
    <row r="429" spans="2:305" hidden="1" x14ac:dyDescent="0.25">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c r="DF429"/>
      <c r="DG429"/>
      <c r="DH429"/>
      <c r="DI429"/>
      <c r="DJ429"/>
      <c r="DK429"/>
      <c r="DL429"/>
      <c r="DM429"/>
      <c r="DN429"/>
      <c r="DO429"/>
      <c r="DP429"/>
      <c r="DQ429"/>
      <c r="DR429"/>
      <c r="DS429"/>
      <c r="DT429"/>
      <c r="DU429"/>
      <c r="DV429"/>
      <c r="DW429"/>
      <c r="DX429"/>
      <c r="DY429"/>
      <c r="DZ429"/>
      <c r="EA429"/>
      <c r="EB429"/>
      <c r="EC429"/>
      <c r="ED429"/>
      <c r="EE429"/>
      <c r="EF429"/>
      <c r="EG429"/>
      <c r="EH429"/>
      <c r="EI429"/>
      <c r="EJ429"/>
      <c r="EK429"/>
      <c r="EL429"/>
      <c r="EM429"/>
      <c r="EN429"/>
      <c r="EO429"/>
      <c r="EP429"/>
      <c r="EQ429"/>
      <c r="ER429"/>
      <c r="ES429"/>
      <c r="ET429"/>
      <c r="EU429"/>
      <c r="EV429"/>
      <c r="EW429"/>
      <c r="EX429"/>
      <c r="EY429"/>
      <c r="EZ429"/>
      <c r="FA429"/>
      <c r="FB429"/>
      <c r="FC429"/>
      <c r="FD429"/>
      <c r="FE429"/>
      <c r="FF429"/>
      <c r="FG429"/>
      <c r="FH429"/>
      <c r="FI429"/>
      <c r="FJ429"/>
      <c r="FK429"/>
      <c r="FL429"/>
      <c r="FM429"/>
      <c r="FN429"/>
      <c r="FO429"/>
      <c r="FP429"/>
      <c r="FQ429"/>
      <c r="FR429"/>
      <c r="FS429"/>
      <c r="FT429"/>
      <c r="FU429"/>
      <c r="FV429"/>
      <c r="FW429"/>
      <c r="FX429"/>
      <c r="FY429"/>
      <c r="FZ429"/>
      <c r="GA429"/>
      <c r="GB429"/>
      <c r="GC429"/>
      <c r="GD429"/>
      <c r="GE429"/>
      <c r="GF429"/>
      <c r="GG429"/>
      <c r="GH429"/>
      <c r="GI429"/>
      <c r="GJ429"/>
      <c r="GK429"/>
      <c r="GL429"/>
      <c r="GM429"/>
      <c r="GN429"/>
      <c r="GO429"/>
      <c r="GP429"/>
      <c r="GQ429"/>
      <c r="GR429"/>
      <c r="GS429"/>
      <c r="GT429"/>
      <c r="GU429"/>
      <c r="GV429"/>
      <c r="GW429"/>
      <c r="GX429"/>
      <c r="GY429"/>
      <c r="GZ429"/>
      <c r="HA429"/>
      <c r="HB429"/>
      <c r="HC429"/>
      <c r="HD429"/>
      <c r="HE429"/>
      <c r="HF429"/>
      <c r="HG429"/>
      <c r="HH429"/>
      <c r="HI429"/>
      <c r="HJ429"/>
      <c r="HK429"/>
      <c r="HL429"/>
      <c r="HM429"/>
      <c r="HN429"/>
      <c r="HO429"/>
      <c r="HP429"/>
      <c r="HQ429"/>
      <c r="HR429"/>
      <c r="HS429"/>
      <c r="HT429"/>
      <c r="HU429"/>
      <c r="HV429"/>
      <c r="HW429"/>
      <c r="HX429"/>
      <c r="HY429"/>
      <c r="HZ429"/>
      <c r="IA429"/>
      <c r="IB429"/>
      <c r="IC429"/>
      <c r="ID429"/>
      <c r="IE429"/>
      <c r="IF429"/>
      <c r="IG429"/>
      <c r="IH429"/>
      <c r="II429"/>
      <c r="IJ429"/>
      <c r="IK429"/>
      <c r="IL429"/>
      <c r="IM429"/>
      <c r="IN429"/>
      <c r="IO429"/>
      <c r="IP429"/>
      <c r="IQ429"/>
      <c r="IR429"/>
      <c r="IS429"/>
      <c r="IT429"/>
      <c r="IU429"/>
      <c r="IV429"/>
      <c r="IW429"/>
      <c r="IX429"/>
      <c r="IY429"/>
      <c r="IZ429"/>
      <c r="JA429"/>
      <c r="JB429"/>
      <c r="JC429"/>
      <c r="JD429"/>
      <c r="JE429"/>
      <c r="JF429"/>
      <c r="JG429"/>
      <c r="JH429"/>
      <c r="JI429"/>
      <c r="JJ429"/>
      <c r="JK429"/>
      <c r="JL429"/>
      <c r="JM429"/>
      <c r="JN429"/>
      <c r="JO429"/>
      <c r="JP429"/>
      <c r="JQ429"/>
      <c r="JR429"/>
      <c r="JS429"/>
      <c r="JT429"/>
      <c r="JU429"/>
      <c r="JV429"/>
      <c r="JW429"/>
      <c r="JX429"/>
      <c r="JY429"/>
      <c r="JZ429"/>
      <c r="KA429"/>
      <c r="KB429"/>
      <c r="KC429"/>
      <c r="KD429"/>
      <c r="KE429"/>
      <c r="KF429"/>
      <c r="KG429"/>
      <c r="KH429"/>
      <c r="KI429"/>
      <c r="KJ429"/>
      <c r="KK429"/>
      <c r="KL429"/>
      <c r="KM429"/>
      <c r="KN429"/>
      <c r="KO429"/>
      <c r="KP429"/>
      <c r="KQ429"/>
      <c r="KR429"/>
      <c r="KS429"/>
    </row>
    <row r="430" spans="2:305" hidden="1" x14ac:dyDescent="0.25">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c r="DF430"/>
      <c r="DG430"/>
      <c r="DH430"/>
      <c r="DI430"/>
      <c r="DJ430"/>
      <c r="DK430"/>
      <c r="DL430"/>
      <c r="DM430"/>
      <c r="DN430"/>
      <c r="DO430"/>
      <c r="DP430"/>
      <c r="DQ430"/>
      <c r="DR430"/>
      <c r="DS430"/>
      <c r="DT430"/>
      <c r="DU430"/>
      <c r="DV430"/>
      <c r="DW430"/>
      <c r="DX430"/>
      <c r="DY430"/>
      <c r="DZ430"/>
      <c r="EA430"/>
      <c r="EB430"/>
      <c r="EC430"/>
      <c r="ED430"/>
      <c r="EE430"/>
      <c r="EF430"/>
      <c r="EG430"/>
      <c r="EH430"/>
      <c r="EI430"/>
      <c r="EJ430"/>
      <c r="EK430"/>
      <c r="EL430"/>
      <c r="EM430"/>
      <c r="EN430"/>
      <c r="EO430"/>
      <c r="EP430"/>
      <c r="EQ430"/>
      <c r="ER430"/>
      <c r="ES430"/>
      <c r="ET430"/>
      <c r="EU430"/>
      <c r="EV430"/>
      <c r="EW430"/>
      <c r="EX430"/>
      <c r="EY430"/>
      <c r="EZ430"/>
      <c r="FA430"/>
      <c r="FB430"/>
      <c r="FC430"/>
      <c r="FD430"/>
      <c r="FE430"/>
      <c r="FF430"/>
      <c r="FG430"/>
      <c r="FH430"/>
      <c r="FI430"/>
      <c r="FJ430"/>
      <c r="FK430"/>
      <c r="FL430"/>
      <c r="FM430"/>
      <c r="FN430"/>
      <c r="FO430"/>
      <c r="FP430"/>
      <c r="FQ430"/>
      <c r="FR430"/>
      <c r="FS430"/>
      <c r="FT430"/>
      <c r="FU430"/>
      <c r="FV430"/>
      <c r="FW430"/>
      <c r="FX430"/>
      <c r="FY430"/>
      <c r="FZ430"/>
      <c r="GA430"/>
      <c r="GB430"/>
      <c r="GC430"/>
      <c r="GD430"/>
      <c r="GE430"/>
      <c r="GF430"/>
      <c r="GG430"/>
      <c r="GH430"/>
      <c r="GI430"/>
      <c r="GJ430"/>
      <c r="GK430"/>
      <c r="GL430"/>
      <c r="GM430"/>
      <c r="GN430"/>
      <c r="GO430"/>
      <c r="GP430"/>
      <c r="GQ430"/>
      <c r="GR430"/>
      <c r="GS430"/>
      <c r="GT430"/>
      <c r="GU430"/>
      <c r="GV430"/>
      <c r="GW430"/>
      <c r="GX430"/>
      <c r="GY430"/>
      <c r="GZ430"/>
      <c r="HA430"/>
      <c r="HB430"/>
      <c r="HC430"/>
      <c r="HD430"/>
      <c r="HE430"/>
      <c r="HF430"/>
      <c r="HG430"/>
      <c r="HH430"/>
      <c r="HI430"/>
      <c r="HJ430"/>
      <c r="HK430"/>
      <c r="HL430"/>
      <c r="HM430"/>
      <c r="HN430"/>
      <c r="HO430"/>
      <c r="HP430"/>
      <c r="HQ430"/>
      <c r="HR430"/>
      <c r="HS430"/>
      <c r="HT430"/>
      <c r="HU430"/>
      <c r="HV430"/>
      <c r="HW430"/>
      <c r="HX430"/>
      <c r="HY430"/>
      <c r="HZ430"/>
      <c r="IA430"/>
      <c r="IB430"/>
      <c r="IC430"/>
      <c r="ID430"/>
      <c r="IE430"/>
      <c r="IF430"/>
      <c r="IG430"/>
      <c r="IH430"/>
      <c r="II430"/>
      <c r="IJ430"/>
      <c r="IK430"/>
      <c r="IL430"/>
      <c r="IM430"/>
      <c r="IN430"/>
      <c r="IO430"/>
      <c r="IP430"/>
      <c r="IQ430"/>
      <c r="IR430"/>
      <c r="IS430"/>
      <c r="IT430"/>
      <c r="IU430"/>
      <c r="IV430"/>
      <c r="IW430"/>
      <c r="IX430"/>
      <c r="IY430"/>
      <c r="IZ430"/>
      <c r="JA430"/>
      <c r="JB430"/>
      <c r="JC430"/>
      <c r="JD430"/>
      <c r="JE430"/>
      <c r="JF430"/>
      <c r="JG430"/>
      <c r="JH430"/>
      <c r="JI430"/>
      <c r="JJ430"/>
      <c r="JK430"/>
      <c r="JL430"/>
      <c r="JM430"/>
      <c r="JN430"/>
      <c r="JO430"/>
      <c r="JP430"/>
      <c r="JQ430"/>
      <c r="JR430"/>
      <c r="JS430"/>
      <c r="JT430"/>
      <c r="JU430"/>
      <c r="JV430"/>
      <c r="JW430"/>
      <c r="JX430"/>
      <c r="JY430"/>
      <c r="JZ430"/>
      <c r="KA430"/>
      <c r="KB430"/>
      <c r="KC430"/>
      <c r="KD430"/>
      <c r="KE430"/>
      <c r="KF430"/>
      <c r="KG430"/>
      <c r="KH430"/>
      <c r="KI430"/>
      <c r="KJ430"/>
      <c r="KK430"/>
      <c r="KL430"/>
      <c r="KM430"/>
      <c r="KN430"/>
      <c r="KO430"/>
      <c r="KP430"/>
      <c r="KQ430"/>
      <c r="KR430"/>
      <c r="KS430"/>
    </row>
    <row r="431" spans="2:305" hidden="1" x14ac:dyDescent="0.25">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c r="EN431"/>
      <c r="EO431"/>
      <c r="EP431"/>
      <c r="EQ431"/>
      <c r="ER431"/>
      <c r="ES431"/>
      <c r="ET431"/>
      <c r="EU431"/>
      <c r="EV431"/>
      <c r="EW431"/>
      <c r="EX431"/>
      <c r="EY431"/>
      <c r="EZ431"/>
      <c r="FA431"/>
      <c r="FB431"/>
      <c r="FC431"/>
      <c r="FD431"/>
      <c r="FE431"/>
      <c r="FF431"/>
      <c r="FG431"/>
      <c r="FH431"/>
      <c r="FI431"/>
      <c r="FJ431"/>
      <c r="FK431"/>
      <c r="FL431"/>
      <c r="FM431"/>
      <c r="FN431"/>
      <c r="FO431"/>
      <c r="FP431"/>
      <c r="FQ431"/>
      <c r="FR431"/>
      <c r="FS431"/>
      <c r="FT431"/>
      <c r="FU431"/>
      <c r="FV431"/>
      <c r="FW431"/>
      <c r="FX431"/>
      <c r="FY431"/>
      <c r="FZ431"/>
      <c r="GA431"/>
      <c r="GB431"/>
      <c r="GC431"/>
      <c r="GD431"/>
      <c r="GE431"/>
      <c r="GF431"/>
      <c r="GG431"/>
      <c r="GH431"/>
      <c r="GI431"/>
      <c r="GJ431"/>
      <c r="GK431"/>
      <c r="GL431"/>
      <c r="GM431"/>
      <c r="GN431"/>
      <c r="GO431"/>
      <c r="GP431"/>
      <c r="GQ431"/>
      <c r="GR431"/>
      <c r="GS431"/>
      <c r="GT431"/>
      <c r="GU431"/>
      <c r="GV431"/>
      <c r="GW431"/>
      <c r="GX431"/>
      <c r="GY431"/>
      <c r="GZ431"/>
      <c r="HA431"/>
      <c r="HB431"/>
      <c r="HC431"/>
      <c r="HD431"/>
      <c r="HE431"/>
      <c r="HF431"/>
      <c r="HG431"/>
      <c r="HH431"/>
      <c r="HI431"/>
      <c r="HJ431"/>
      <c r="HK431"/>
      <c r="HL431"/>
      <c r="HM431"/>
      <c r="HN431"/>
      <c r="HO431"/>
      <c r="HP431"/>
      <c r="HQ431"/>
      <c r="HR431"/>
      <c r="HS431"/>
      <c r="HT431"/>
      <c r="HU431"/>
      <c r="HV431"/>
      <c r="HW431"/>
      <c r="HX431"/>
      <c r="HY431"/>
      <c r="HZ431"/>
      <c r="IA431"/>
      <c r="IB431"/>
      <c r="IC431"/>
      <c r="ID431"/>
      <c r="IE431"/>
      <c r="IF431"/>
      <c r="IG431"/>
      <c r="IH431"/>
      <c r="II431"/>
      <c r="IJ431"/>
      <c r="IK431"/>
      <c r="IL431"/>
      <c r="IM431"/>
      <c r="IN431"/>
      <c r="IO431"/>
      <c r="IP431"/>
      <c r="IQ431"/>
      <c r="IR431"/>
      <c r="IS431"/>
      <c r="IT431"/>
      <c r="IU431"/>
      <c r="IV431"/>
      <c r="IW431"/>
      <c r="IX431"/>
      <c r="IY431"/>
      <c r="IZ431"/>
      <c r="JA431"/>
      <c r="JB431"/>
      <c r="JC431"/>
      <c r="JD431"/>
      <c r="JE431"/>
      <c r="JF431"/>
      <c r="JG431"/>
      <c r="JH431"/>
      <c r="JI431"/>
      <c r="JJ431"/>
      <c r="JK431"/>
      <c r="JL431"/>
      <c r="JM431"/>
      <c r="JN431"/>
      <c r="JO431"/>
      <c r="JP431"/>
      <c r="JQ431"/>
      <c r="JR431"/>
      <c r="JS431"/>
      <c r="JT431"/>
      <c r="JU431"/>
      <c r="JV431"/>
      <c r="JW431"/>
      <c r="JX431"/>
      <c r="JY431"/>
      <c r="JZ431"/>
      <c r="KA431"/>
      <c r="KB431"/>
      <c r="KC431"/>
      <c r="KD431"/>
      <c r="KE431"/>
      <c r="KF431"/>
      <c r="KG431"/>
      <c r="KH431"/>
      <c r="KI431"/>
      <c r="KJ431"/>
      <c r="KK431"/>
      <c r="KL431"/>
      <c r="KM431"/>
      <c r="KN431"/>
      <c r="KO431"/>
      <c r="KP431"/>
      <c r="KQ431"/>
      <c r="KR431"/>
      <c r="KS431"/>
    </row>
    <row r="432" spans="2:305" hidden="1" x14ac:dyDescent="0.25">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c r="DF432"/>
      <c r="DG432"/>
      <c r="DH432"/>
      <c r="DI432"/>
      <c r="DJ432"/>
      <c r="DK432"/>
      <c r="DL432"/>
      <c r="DM432"/>
      <c r="DN432"/>
      <c r="DO432"/>
      <c r="DP432"/>
      <c r="DQ432"/>
      <c r="DR432"/>
      <c r="DS432"/>
      <c r="DT432"/>
      <c r="DU432"/>
      <c r="DV432"/>
      <c r="DW432"/>
      <c r="DX432"/>
      <c r="DY432"/>
      <c r="DZ432"/>
      <c r="EA432"/>
      <c r="EB432"/>
      <c r="EC432"/>
      <c r="ED432"/>
      <c r="EE432"/>
      <c r="EF432"/>
      <c r="EG432"/>
      <c r="EH432"/>
      <c r="EI432"/>
      <c r="EJ432"/>
      <c r="EK432"/>
      <c r="EL432"/>
      <c r="EM432"/>
      <c r="EN432"/>
      <c r="EO432"/>
      <c r="EP432"/>
      <c r="EQ432"/>
      <c r="ER432"/>
      <c r="ES432"/>
      <c r="ET432"/>
      <c r="EU432"/>
      <c r="EV432"/>
      <c r="EW432"/>
      <c r="EX432"/>
      <c r="EY432"/>
      <c r="EZ432"/>
      <c r="FA432"/>
      <c r="FB432"/>
      <c r="FC432"/>
      <c r="FD432"/>
      <c r="FE432"/>
      <c r="FF432"/>
      <c r="FG432"/>
      <c r="FH432"/>
      <c r="FI432"/>
      <c r="FJ432"/>
      <c r="FK432"/>
      <c r="FL432"/>
      <c r="FM432"/>
      <c r="FN432"/>
      <c r="FO432"/>
      <c r="FP432"/>
      <c r="FQ432"/>
      <c r="FR432"/>
      <c r="FS432"/>
      <c r="FT432"/>
      <c r="FU432"/>
      <c r="FV432"/>
      <c r="FW432"/>
      <c r="FX432"/>
      <c r="FY432"/>
      <c r="FZ432"/>
      <c r="GA432"/>
      <c r="GB432"/>
      <c r="GC432"/>
      <c r="GD432"/>
      <c r="GE432"/>
      <c r="GF432"/>
      <c r="GG432"/>
      <c r="GH432"/>
      <c r="GI432"/>
      <c r="GJ432"/>
      <c r="GK432"/>
      <c r="GL432"/>
      <c r="GM432"/>
      <c r="GN432"/>
      <c r="GO432"/>
      <c r="GP432"/>
      <c r="GQ432"/>
      <c r="GR432"/>
      <c r="GS432"/>
      <c r="GT432"/>
      <c r="GU432"/>
      <c r="GV432"/>
      <c r="GW432"/>
      <c r="GX432"/>
      <c r="GY432"/>
      <c r="GZ432"/>
      <c r="HA432"/>
      <c r="HB432"/>
      <c r="HC432"/>
      <c r="HD432"/>
      <c r="HE432"/>
      <c r="HF432"/>
      <c r="HG432"/>
      <c r="HH432"/>
      <c r="HI432"/>
      <c r="HJ432"/>
      <c r="HK432"/>
      <c r="HL432"/>
      <c r="HM432"/>
      <c r="HN432"/>
      <c r="HO432"/>
      <c r="HP432"/>
      <c r="HQ432"/>
      <c r="HR432"/>
      <c r="HS432"/>
      <c r="HT432"/>
      <c r="HU432"/>
      <c r="HV432"/>
      <c r="HW432"/>
      <c r="HX432"/>
      <c r="HY432"/>
      <c r="HZ432"/>
      <c r="IA432"/>
      <c r="IB432"/>
      <c r="IC432"/>
      <c r="ID432"/>
      <c r="IE432"/>
      <c r="IF432"/>
      <c r="IG432"/>
      <c r="IH432"/>
      <c r="II432"/>
      <c r="IJ432"/>
      <c r="IK432"/>
      <c r="IL432"/>
      <c r="IM432"/>
      <c r="IN432"/>
      <c r="IO432"/>
      <c r="IP432"/>
      <c r="IQ432"/>
      <c r="IR432"/>
      <c r="IS432"/>
      <c r="IT432"/>
      <c r="IU432"/>
      <c r="IV432"/>
      <c r="IW432"/>
      <c r="IX432"/>
      <c r="IY432"/>
      <c r="IZ432"/>
      <c r="JA432"/>
      <c r="JB432"/>
      <c r="JC432"/>
      <c r="JD432"/>
      <c r="JE432"/>
      <c r="JF432"/>
      <c r="JG432"/>
      <c r="JH432"/>
      <c r="JI432"/>
      <c r="JJ432"/>
      <c r="JK432"/>
      <c r="JL432"/>
      <c r="JM432"/>
      <c r="JN432"/>
      <c r="JO432"/>
      <c r="JP432"/>
      <c r="JQ432"/>
      <c r="JR432"/>
      <c r="JS432"/>
      <c r="JT432"/>
      <c r="JU432"/>
      <c r="JV432"/>
      <c r="JW432"/>
      <c r="JX432"/>
      <c r="JY432"/>
      <c r="JZ432"/>
      <c r="KA432"/>
      <c r="KB432"/>
      <c r="KC432"/>
      <c r="KD432"/>
      <c r="KE432"/>
      <c r="KF432"/>
      <c r="KG432"/>
      <c r="KH432"/>
      <c r="KI432"/>
      <c r="KJ432"/>
      <c r="KK432"/>
      <c r="KL432"/>
      <c r="KM432"/>
      <c r="KN432"/>
      <c r="KO432"/>
      <c r="KP432"/>
      <c r="KQ432"/>
      <c r="KR432"/>
      <c r="KS432"/>
    </row>
    <row r="433" spans="2:305" hidden="1" x14ac:dyDescent="0.25">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c r="DF433"/>
      <c r="DG433"/>
      <c r="DH433"/>
      <c r="DI433"/>
      <c r="DJ433"/>
      <c r="DK433"/>
      <c r="DL433"/>
      <c r="DM433"/>
      <c r="DN433"/>
      <c r="DO433"/>
      <c r="DP433"/>
      <c r="DQ433"/>
      <c r="DR433"/>
      <c r="DS433"/>
      <c r="DT433"/>
      <c r="DU433"/>
      <c r="DV433"/>
      <c r="DW433"/>
      <c r="DX433"/>
      <c r="DY433"/>
      <c r="DZ433"/>
      <c r="EA433"/>
      <c r="EB433"/>
      <c r="EC433"/>
      <c r="ED433"/>
      <c r="EE433"/>
      <c r="EF433"/>
      <c r="EG433"/>
      <c r="EH433"/>
      <c r="EI433"/>
      <c r="EJ433"/>
      <c r="EK433"/>
      <c r="EL433"/>
      <c r="EM433"/>
      <c r="EN433"/>
      <c r="EO433"/>
      <c r="EP433"/>
      <c r="EQ433"/>
      <c r="ER433"/>
      <c r="ES433"/>
      <c r="ET433"/>
      <c r="EU433"/>
      <c r="EV433"/>
      <c r="EW433"/>
      <c r="EX433"/>
      <c r="EY433"/>
      <c r="EZ433"/>
      <c r="FA433"/>
      <c r="FB433"/>
      <c r="FC433"/>
      <c r="FD433"/>
      <c r="FE433"/>
      <c r="FF433"/>
      <c r="FG433"/>
      <c r="FH433"/>
      <c r="FI433"/>
      <c r="FJ433"/>
      <c r="FK433"/>
      <c r="FL433"/>
      <c r="FM433"/>
      <c r="FN433"/>
      <c r="FO433"/>
      <c r="FP433"/>
      <c r="FQ433"/>
      <c r="FR433"/>
      <c r="FS433"/>
      <c r="FT433"/>
      <c r="FU433"/>
      <c r="FV433"/>
      <c r="FW433"/>
      <c r="FX433"/>
      <c r="FY433"/>
      <c r="FZ433"/>
      <c r="GA433"/>
      <c r="GB433"/>
      <c r="GC433"/>
      <c r="GD433"/>
      <c r="GE433"/>
      <c r="GF433"/>
      <c r="GG433"/>
      <c r="GH433"/>
      <c r="GI433"/>
      <c r="GJ433"/>
      <c r="GK433"/>
      <c r="GL433"/>
      <c r="GM433"/>
      <c r="GN433"/>
      <c r="GO433"/>
      <c r="GP433"/>
      <c r="GQ433"/>
      <c r="GR433"/>
      <c r="GS433"/>
      <c r="GT433"/>
      <c r="GU433"/>
      <c r="GV433"/>
      <c r="GW433"/>
      <c r="GX433"/>
      <c r="GY433"/>
      <c r="GZ433"/>
      <c r="HA433"/>
      <c r="HB433"/>
      <c r="HC433"/>
      <c r="HD433"/>
      <c r="HE433"/>
      <c r="HF433"/>
      <c r="HG433"/>
      <c r="HH433"/>
      <c r="HI433"/>
      <c r="HJ433"/>
      <c r="HK433"/>
      <c r="HL433"/>
      <c r="HM433"/>
      <c r="HN433"/>
      <c r="HO433"/>
      <c r="HP433"/>
      <c r="HQ433"/>
      <c r="HR433"/>
      <c r="HS433"/>
      <c r="HT433"/>
      <c r="HU433"/>
      <c r="HV433"/>
      <c r="HW433"/>
      <c r="HX433"/>
      <c r="HY433"/>
      <c r="HZ433"/>
      <c r="IA433"/>
      <c r="IB433"/>
      <c r="IC433"/>
      <c r="ID433"/>
      <c r="IE433"/>
      <c r="IF433"/>
      <c r="IG433"/>
      <c r="IH433"/>
      <c r="II433"/>
      <c r="IJ433"/>
      <c r="IK433"/>
      <c r="IL433"/>
      <c r="IM433"/>
      <c r="IN433"/>
      <c r="IO433"/>
      <c r="IP433"/>
      <c r="IQ433"/>
      <c r="IR433"/>
      <c r="IS433"/>
      <c r="IT433"/>
      <c r="IU433"/>
      <c r="IV433"/>
      <c r="IW433"/>
      <c r="IX433"/>
      <c r="IY433"/>
      <c r="IZ433"/>
      <c r="JA433"/>
      <c r="JB433"/>
      <c r="JC433"/>
      <c r="JD433"/>
      <c r="JE433"/>
      <c r="JF433"/>
      <c r="JG433"/>
      <c r="JH433"/>
      <c r="JI433"/>
      <c r="JJ433"/>
      <c r="JK433"/>
      <c r="JL433"/>
      <c r="JM433"/>
      <c r="JN433"/>
      <c r="JO433"/>
      <c r="JP433"/>
      <c r="JQ433"/>
      <c r="JR433"/>
      <c r="JS433"/>
      <c r="JT433"/>
      <c r="JU433"/>
      <c r="JV433"/>
      <c r="JW433"/>
      <c r="JX433"/>
      <c r="JY433"/>
      <c r="JZ433"/>
      <c r="KA433"/>
      <c r="KB433"/>
      <c r="KC433"/>
      <c r="KD433"/>
      <c r="KE433"/>
      <c r="KF433"/>
      <c r="KG433"/>
      <c r="KH433"/>
      <c r="KI433"/>
      <c r="KJ433"/>
      <c r="KK433"/>
      <c r="KL433"/>
      <c r="KM433"/>
      <c r="KN433"/>
      <c r="KO433"/>
      <c r="KP433"/>
      <c r="KQ433"/>
      <c r="KR433"/>
      <c r="KS433"/>
    </row>
    <row r="434" spans="2:305" hidden="1" x14ac:dyDescent="0.25">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c r="DF434"/>
      <c r="DG434"/>
      <c r="DH434"/>
      <c r="DI434"/>
      <c r="DJ434"/>
      <c r="DK434"/>
      <c r="DL434"/>
      <c r="DM434"/>
      <c r="DN434"/>
      <c r="DO434"/>
      <c r="DP434"/>
      <c r="DQ434"/>
      <c r="DR434"/>
      <c r="DS434"/>
      <c r="DT434"/>
      <c r="DU434"/>
      <c r="DV434"/>
      <c r="DW434"/>
      <c r="DX434"/>
      <c r="DY434"/>
      <c r="DZ434"/>
      <c r="EA434"/>
      <c r="EB434"/>
      <c r="EC434"/>
      <c r="ED434"/>
      <c r="EE434"/>
      <c r="EF434"/>
      <c r="EG434"/>
      <c r="EH434"/>
      <c r="EI434"/>
      <c r="EJ434"/>
      <c r="EK434"/>
      <c r="EL434"/>
      <c r="EM434"/>
      <c r="EN434"/>
      <c r="EO434"/>
      <c r="EP434"/>
      <c r="EQ434"/>
      <c r="ER434"/>
      <c r="ES434"/>
      <c r="ET434"/>
      <c r="EU434"/>
      <c r="EV434"/>
      <c r="EW434"/>
      <c r="EX434"/>
      <c r="EY434"/>
      <c r="EZ434"/>
      <c r="FA434"/>
      <c r="FB434"/>
      <c r="FC434"/>
      <c r="FD434"/>
      <c r="FE434"/>
      <c r="FF434"/>
      <c r="FG434"/>
      <c r="FH434"/>
      <c r="FI434"/>
      <c r="FJ434"/>
      <c r="FK434"/>
      <c r="FL434"/>
      <c r="FM434"/>
      <c r="FN434"/>
      <c r="FO434"/>
      <c r="FP434"/>
      <c r="FQ434"/>
      <c r="FR434"/>
      <c r="FS434"/>
      <c r="FT434"/>
      <c r="FU434"/>
      <c r="FV434"/>
      <c r="FW434"/>
      <c r="FX434"/>
      <c r="FY434"/>
      <c r="FZ434"/>
      <c r="GA434"/>
      <c r="GB434"/>
      <c r="GC434"/>
      <c r="GD434"/>
      <c r="GE434"/>
      <c r="GF434"/>
      <c r="GG434"/>
      <c r="GH434"/>
      <c r="GI434"/>
      <c r="GJ434"/>
      <c r="GK434"/>
      <c r="GL434"/>
      <c r="GM434"/>
      <c r="GN434"/>
      <c r="GO434"/>
      <c r="GP434"/>
      <c r="GQ434"/>
      <c r="GR434"/>
      <c r="GS434"/>
      <c r="GT434"/>
      <c r="GU434"/>
      <c r="GV434"/>
      <c r="GW434"/>
      <c r="GX434"/>
      <c r="GY434"/>
      <c r="GZ434"/>
      <c r="HA434"/>
      <c r="HB434"/>
      <c r="HC434"/>
      <c r="HD434"/>
      <c r="HE434"/>
      <c r="HF434"/>
      <c r="HG434"/>
      <c r="HH434"/>
      <c r="HI434"/>
      <c r="HJ434"/>
      <c r="HK434"/>
      <c r="HL434"/>
      <c r="HM434"/>
      <c r="HN434"/>
      <c r="HO434"/>
      <c r="HP434"/>
      <c r="HQ434"/>
      <c r="HR434"/>
      <c r="HS434"/>
      <c r="HT434"/>
      <c r="HU434"/>
      <c r="HV434"/>
      <c r="HW434"/>
      <c r="HX434"/>
      <c r="HY434"/>
      <c r="HZ434"/>
      <c r="IA434"/>
      <c r="IB434"/>
      <c r="IC434"/>
      <c r="ID434"/>
      <c r="IE434"/>
      <c r="IF434"/>
      <c r="IG434"/>
      <c r="IH434"/>
      <c r="II434"/>
      <c r="IJ434"/>
      <c r="IK434"/>
      <c r="IL434"/>
      <c r="IM434"/>
      <c r="IN434"/>
      <c r="IO434"/>
      <c r="IP434"/>
      <c r="IQ434"/>
      <c r="IR434"/>
      <c r="IS434"/>
      <c r="IT434"/>
      <c r="IU434"/>
      <c r="IV434"/>
      <c r="IW434"/>
      <c r="IX434"/>
      <c r="IY434"/>
      <c r="IZ434"/>
      <c r="JA434"/>
      <c r="JB434"/>
      <c r="JC434"/>
      <c r="JD434"/>
      <c r="JE434"/>
      <c r="JF434"/>
      <c r="JG434"/>
      <c r="JH434"/>
      <c r="JI434"/>
      <c r="JJ434"/>
      <c r="JK434"/>
      <c r="JL434"/>
      <c r="JM434"/>
      <c r="JN434"/>
      <c r="JO434"/>
      <c r="JP434"/>
      <c r="JQ434"/>
      <c r="JR434"/>
      <c r="JS434"/>
      <c r="JT434"/>
      <c r="JU434"/>
      <c r="JV434"/>
      <c r="JW434"/>
      <c r="JX434"/>
      <c r="JY434"/>
      <c r="JZ434"/>
      <c r="KA434"/>
      <c r="KB434"/>
      <c r="KC434"/>
      <c r="KD434"/>
      <c r="KE434"/>
      <c r="KF434"/>
      <c r="KG434"/>
      <c r="KH434"/>
      <c r="KI434"/>
      <c r="KJ434"/>
      <c r="KK434"/>
      <c r="KL434"/>
      <c r="KM434"/>
      <c r="KN434"/>
      <c r="KO434"/>
      <c r="KP434"/>
      <c r="KQ434"/>
      <c r="KR434"/>
      <c r="KS434"/>
    </row>
    <row r="435" spans="2:305" hidden="1" x14ac:dyDescent="0.2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c r="DF435"/>
      <c r="DG435"/>
      <c r="DH435"/>
      <c r="DI435"/>
      <c r="DJ435"/>
      <c r="DK435"/>
      <c r="DL435"/>
      <c r="DM435"/>
      <c r="DN435"/>
      <c r="DO435"/>
      <c r="DP435"/>
      <c r="DQ435"/>
      <c r="DR435"/>
      <c r="DS435"/>
      <c r="DT435"/>
      <c r="DU435"/>
      <c r="DV435"/>
      <c r="DW435"/>
      <c r="DX435"/>
      <c r="DY435"/>
      <c r="DZ435"/>
      <c r="EA435"/>
      <c r="EB435"/>
      <c r="EC435"/>
      <c r="ED435"/>
      <c r="EE435"/>
      <c r="EF435"/>
      <c r="EG435"/>
      <c r="EH435"/>
      <c r="EI435"/>
      <c r="EJ435"/>
      <c r="EK435"/>
      <c r="EL435"/>
      <c r="EM435"/>
      <c r="EN435"/>
      <c r="EO435"/>
      <c r="EP435"/>
      <c r="EQ435"/>
      <c r="ER435"/>
      <c r="ES435"/>
      <c r="ET435"/>
      <c r="EU435"/>
      <c r="EV435"/>
      <c r="EW435"/>
      <c r="EX435"/>
      <c r="EY435"/>
      <c r="EZ435"/>
      <c r="FA435"/>
      <c r="FB435"/>
      <c r="FC435"/>
      <c r="FD435"/>
      <c r="FE435"/>
      <c r="FF435"/>
      <c r="FG435"/>
      <c r="FH435"/>
      <c r="FI435"/>
      <c r="FJ435"/>
      <c r="FK435"/>
      <c r="FL435"/>
      <c r="FM435"/>
      <c r="FN435"/>
      <c r="FO435"/>
      <c r="FP435"/>
      <c r="FQ435"/>
      <c r="FR435"/>
      <c r="FS435"/>
      <c r="FT435"/>
      <c r="FU435"/>
      <c r="FV435"/>
      <c r="FW435"/>
      <c r="FX435"/>
      <c r="FY435"/>
      <c r="FZ435"/>
      <c r="GA435"/>
      <c r="GB435"/>
      <c r="GC435"/>
      <c r="GD435"/>
      <c r="GE435"/>
      <c r="GF435"/>
      <c r="GG435"/>
      <c r="GH435"/>
      <c r="GI435"/>
      <c r="GJ435"/>
      <c r="GK435"/>
      <c r="GL435"/>
      <c r="GM435"/>
      <c r="GN435"/>
      <c r="GO435"/>
      <c r="GP435"/>
      <c r="GQ435"/>
      <c r="GR435"/>
      <c r="GS435"/>
      <c r="GT435"/>
      <c r="GU435"/>
      <c r="GV435"/>
      <c r="GW435"/>
      <c r="GX435"/>
      <c r="GY435"/>
      <c r="GZ435"/>
      <c r="HA435"/>
      <c r="HB435"/>
      <c r="HC435"/>
      <c r="HD435"/>
      <c r="HE435"/>
      <c r="HF435"/>
      <c r="HG435"/>
      <c r="HH435"/>
      <c r="HI435"/>
      <c r="HJ435"/>
      <c r="HK435"/>
      <c r="HL435"/>
      <c r="HM435"/>
      <c r="HN435"/>
      <c r="HO435"/>
      <c r="HP435"/>
      <c r="HQ435"/>
      <c r="HR435"/>
      <c r="HS435"/>
      <c r="HT435"/>
      <c r="HU435"/>
      <c r="HV435"/>
      <c r="HW435"/>
      <c r="HX435"/>
      <c r="HY435"/>
      <c r="HZ435"/>
      <c r="IA435"/>
      <c r="IB435"/>
      <c r="IC435"/>
      <c r="ID435"/>
      <c r="IE435"/>
      <c r="IF435"/>
      <c r="IG435"/>
      <c r="IH435"/>
      <c r="II435"/>
      <c r="IJ435"/>
      <c r="IK435"/>
      <c r="IL435"/>
      <c r="IM435"/>
      <c r="IN435"/>
      <c r="IO435"/>
      <c r="IP435"/>
      <c r="IQ435"/>
      <c r="IR435"/>
      <c r="IS435"/>
      <c r="IT435"/>
      <c r="IU435"/>
      <c r="IV435"/>
      <c r="IW435"/>
      <c r="IX435"/>
      <c r="IY435"/>
      <c r="IZ435"/>
      <c r="JA435"/>
      <c r="JB435"/>
      <c r="JC435"/>
      <c r="JD435"/>
      <c r="JE435"/>
      <c r="JF435"/>
      <c r="JG435"/>
      <c r="JH435"/>
      <c r="JI435"/>
      <c r="JJ435"/>
      <c r="JK435"/>
      <c r="JL435"/>
      <c r="JM435"/>
      <c r="JN435"/>
      <c r="JO435"/>
      <c r="JP435"/>
      <c r="JQ435"/>
      <c r="JR435"/>
      <c r="JS435"/>
      <c r="JT435"/>
      <c r="JU435"/>
      <c r="JV435"/>
      <c r="JW435"/>
      <c r="JX435"/>
      <c r="JY435"/>
      <c r="JZ435"/>
      <c r="KA435"/>
      <c r="KB435"/>
      <c r="KC435"/>
      <c r="KD435"/>
      <c r="KE435"/>
      <c r="KF435"/>
      <c r="KG435"/>
      <c r="KH435"/>
      <c r="KI435"/>
      <c r="KJ435"/>
      <c r="KK435"/>
      <c r="KL435"/>
      <c r="KM435"/>
      <c r="KN435"/>
      <c r="KO435"/>
      <c r="KP435"/>
      <c r="KQ435"/>
      <c r="KR435"/>
      <c r="KS435"/>
    </row>
    <row r="436" spans="2:305" hidden="1" x14ac:dyDescent="0.25">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c r="DF436"/>
      <c r="DG436"/>
      <c r="DH436"/>
      <c r="DI436"/>
      <c r="DJ436"/>
      <c r="DK436"/>
      <c r="DL436"/>
      <c r="DM436"/>
      <c r="DN436"/>
      <c r="DO436"/>
      <c r="DP436"/>
      <c r="DQ436"/>
      <c r="DR436"/>
      <c r="DS436"/>
      <c r="DT436"/>
      <c r="DU436"/>
      <c r="DV436"/>
      <c r="DW436"/>
      <c r="DX436"/>
      <c r="DY436"/>
      <c r="DZ436"/>
      <c r="EA436"/>
      <c r="EB436"/>
      <c r="EC436"/>
      <c r="ED436"/>
      <c r="EE436"/>
      <c r="EF436"/>
      <c r="EG436"/>
      <c r="EH436"/>
      <c r="EI436"/>
      <c r="EJ436"/>
      <c r="EK436"/>
      <c r="EL436"/>
      <c r="EM436"/>
      <c r="EN436"/>
      <c r="EO436"/>
      <c r="EP436"/>
      <c r="EQ436"/>
      <c r="ER436"/>
      <c r="ES436"/>
      <c r="ET436"/>
      <c r="EU436"/>
      <c r="EV436"/>
      <c r="EW436"/>
      <c r="EX436"/>
      <c r="EY436"/>
      <c r="EZ436"/>
      <c r="FA436"/>
      <c r="FB436"/>
      <c r="FC436"/>
      <c r="FD436"/>
      <c r="FE436"/>
      <c r="FF436"/>
      <c r="FG436"/>
      <c r="FH436"/>
      <c r="FI436"/>
      <c r="FJ436"/>
      <c r="FK436"/>
      <c r="FL436"/>
      <c r="FM436"/>
      <c r="FN436"/>
      <c r="FO436"/>
      <c r="FP436"/>
      <c r="FQ436"/>
      <c r="FR436"/>
      <c r="FS436"/>
      <c r="FT436"/>
      <c r="FU436"/>
      <c r="FV436"/>
      <c r="FW436"/>
      <c r="FX436"/>
      <c r="FY436"/>
      <c r="FZ436"/>
      <c r="GA436"/>
      <c r="GB436"/>
      <c r="GC436"/>
      <c r="GD436"/>
      <c r="GE436"/>
      <c r="GF436"/>
      <c r="GG436"/>
      <c r="GH436"/>
      <c r="GI436"/>
      <c r="GJ436"/>
      <c r="GK436"/>
      <c r="GL436"/>
      <c r="GM436"/>
      <c r="GN436"/>
      <c r="GO436"/>
      <c r="GP436"/>
      <c r="GQ436"/>
      <c r="GR436"/>
      <c r="GS436"/>
      <c r="GT436"/>
      <c r="GU436"/>
      <c r="GV436"/>
      <c r="GW436"/>
      <c r="GX436"/>
      <c r="GY436"/>
      <c r="GZ436"/>
      <c r="HA436"/>
      <c r="HB436"/>
      <c r="HC436"/>
      <c r="HD436"/>
      <c r="HE436"/>
      <c r="HF436"/>
      <c r="HG436"/>
      <c r="HH436"/>
      <c r="HI436"/>
      <c r="HJ436"/>
      <c r="HK436"/>
      <c r="HL436"/>
      <c r="HM436"/>
      <c r="HN436"/>
      <c r="HO436"/>
      <c r="HP436"/>
      <c r="HQ436"/>
      <c r="HR436"/>
      <c r="HS436"/>
      <c r="HT436"/>
      <c r="HU436"/>
      <c r="HV436"/>
      <c r="HW436"/>
      <c r="HX436"/>
      <c r="HY436"/>
      <c r="HZ436"/>
      <c r="IA436"/>
      <c r="IB436"/>
      <c r="IC436"/>
      <c r="ID436"/>
      <c r="IE436"/>
      <c r="IF436"/>
      <c r="IG436"/>
      <c r="IH436"/>
      <c r="II436"/>
      <c r="IJ436"/>
      <c r="IK436"/>
      <c r="IL436"/>
      <c r="IM436"/>
      <c r="IN436"/>
      <c r="IO436"/>
      <c r="IP436"/>
      <c r="IQ436"/>
      <c r="IR436"/>
      <c r="IS436"/>
      <c r="IT436"/>
      <c r="IU436"/>
      <c r="IV436"/>
      <c r="IW436"/>
      <c r="IX436"/>
      <c r="IY436"/>
      <c r="IZ436"/>
      <c r="JA436"/>
      <c r="JB436"/>
      <c r="JC436"/>
      <c r="JD436"/>
      <c r="JE436"/>
      <c r="JF436"/>
      <c r="JG436"/>
      <c r="JH436"/>
      <c r="JI436"/>
      <c r="JJ436"/>
      <c r="JK436"/>
      <c r="JL436"/>
      <c r="JM436"/>
      <c r="JN436"/>
      <c r="JO436"/>
      <c r="JP436"/>
      <c r="JQ436"/>
      <c r="JR436"/>
      <c r="JS436"/>
      <c r="JT436"/>
      <c r="JU436"/>
      <c r="JV436"/>
      <c r="JW436"/>
      <c r="JX436"/>
      <c r="JY436"/>
      <c r="JZ436"/>
      <c r="KA436"/>
      <c r="KB436"/>
      <c r="KC436"/>
      <c r="KD436"/>
      <c r="KE436"/>
      <c r="KF436"/>
      <c r="KG436"/>
      <c r="KH436"/>
      <c r="KI436"/>
      <c r="KJ436"/>
      <c r="KK436"/>
      <c r="KL436"/>
      <c r="KM436"/>
      <c r="KN436"/>
      <c r="KO436"/>
      <c r="KP436"/>
      <c r="KQ436"/>
      <c r="KR436"/>
      <c r="KS436"/>
    </row>
    <row r="437" spans="2:305" hidden="1" x14ac:dyDescent="0.25">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c r="DF437"/>
      <c r="DG437"/>
      <c r="DH437"/>
      <c r="DI437"/>
      <c r="DJ437"/>
      <c r="DK437"/>
      <c r="DL437"/>
      <c r="DM437"/>
      <c r="DN437"/>
      <c r="DO437"/>
      <c r="DP437"/>
      <c r="DQ437"/>
      <c r="DR437"/>
      <c r="DS437"/>
      <c r="DT437"/>
      <c r="DU437"/>
      <c r="DV437"/>
      <c r="DW437"/>
      <c r="DX437"/>
      <c r="DY437"/>
      <c r="DZ437"/>
      <c r="EA437"/>
      <c r="EB437"/>
      <c r="EC437"/>
      <c r="ED437"/>
      <c r="EE437"/>
      <c r="EF437"/>
      <c r="EG437"/>
      <c r="EH437"/>
      <c r="EI437"/>
      <c r="EJ437"/>
      <c r="EK437"/>
      <c r="EL437"/>
      <c r="EM437"/>
      <c r="EN437"/>
      <c r="EO437"/>
      <c r="EP437"/>
      <c r="EQ437"/>
      <c r="ER437"/>
      <c r="ES437"/>
      <c r="ET437"/>
      <c r="EU437"/>
      <c r="EV437"/>
      <c r="EW437"/>
      <c r="EX437"/>
      <c r="EY437"/>
      <c r="EZ437"/>
      <c r="FA437"/>
      <c r="FB437"/>
      <c r="FC437"/>
      <c r="FD437"/>
      <c r="FE437"/>
      <c r="FF437"/>
      <c r="FG437"/>
      <c r="FH437"/>
      <c r="FI437"/>
      <c r="FJ437"/>
      <c r="FK437"/>
      <c r="FL437"/>
      <c r="FM437"/>
      <c r="FN437"/>
      <c r="FO437"/>
      <c r="FP437"/>
      <c r="FQ437"/>
      <c r="FR437"/>
      <c r="FS437"/>
      <c r="FT437"/>
      <c r="FU437"/>
      <c r="FV437"/>
      <c r="FW437"/>
      <c r="FX437"/>
      <c r="FY437"/>
      <c r="FZ437"/>
      <c r="GA437"/>
      <c r="GB437"/>
      <c r="GC437"/>
      <c r="GD437"/>
      <c r="GE437"/>
      <c r="GF437"/>
      <c r="GG437"/>
      <c r="GH437"/>
      <c r="GI437"/>
      <c r="GJ437"/>
      <c r="GK437"/>
      <c r="GL437"/>
      <c r="GM437"/>
      <c r="GN437"/>
      <c r="GO437"/>
      <c r="GP437"/>
      <c r="GQ437"/>
      <c r="GR437"/>
      <c r="GS437"/>
      <c r="GT437"/>
      <c r="GU437"/>
      <c r="GV437"/>
      <c r="GW437"/>
      <c r="GX437"/>
      <c r="GY437"/>
      <c r="GZ437"/>
      <c r="HA437"/>
      <c r="HB437"/>
      <c r="HC437"/>
      <c r="HD437"/>
      <c r="HE437"/>
      <c r="HF437"/>
      <c r="HG437"/>
      <c r="HH437"/>
      <c r="HI437"/>
      <c r="HJ437"/>
      <c r="HK437"/>
      <c r="HL437"/>
      <c r="HM437"/>
      <c r="HN437"/>
      <c r="HO437"/>
      <c r="HP437"/>
      <c r="HQ437"/>
      <c r="HR437"/>
      <c r="HS437"/>
      <c r="HT437"/>
      <c r="HU437"/>
      <c r="HV437"/>
      <c r="HW437"/>
      <c r="HX437"/>
      <c r="HY437"/>
      <c r="HZ437"/>
      <c r="IA437"/>
      <c r="IB437"/>
      <c r="IC437"/>
      <c r="ID437"/>
      <c r="IE437"/>
      <c r="IF437"/>
      <c r="IG437"/>
      <c r="IH437"/>
      <c r="II437"/>
      <c r="IJ437"/>
      <c r="IK437"/>
      <c r="IL437"/>
      <c r="IM437"/>
      <c r="IN437"/>
      <c r="IO437"/>
      <c r="IP437"/>
      <c r="IQ437"/>
      <c r="IR437"/>
      <c r="IS437"/>
      <c r="IT437"/>
      <c r="IU437"/>
      <c r="IV437"/>
      <c r="IW437"/>
      <c r="IX437"/>
      <c r="IY437"/>
      <c r="IZ437"/>
      <c r="JA437"/>
      <c r="JB437"/>
      <c r="JC437"/>
      <c r="JD437"/>
      <c r="JE437"/>
      <c r="JF437"/>
      <c r="JG437"/>
      <c r="JH437"/>
      <c r="JI437"/>
      <c r="JJ437"/>
      <c r="JK437"/>
      <c r="JL437"/>
      <c r="JM437"/>
      <c r="JN437"/>
      <c r="JO437"/>
      <c r="JP437"/>
      <c r="JQ437"/>
      <c r="JR437"/>
      <c r="JS437"/>
      <c r="JT437"/>
      <c r="JU437"/>
      <c r="JV437"/>
      <c r="JW437"/>
      <c r="JX437"/>
      <c r="JY437"/>
      <c r="JZ437"/>
      <c r="KA437"/>
      <c r="KB437"/>
      <c r="KC437"/>
      <c r="KD437"/>
      <c r="KE437"/>
      <c r="KF437"/>
      <c r="KG437"/>
      <c r="KH437"/>
      <c r="KI437"/>
      <c r="KJ437"/>
      <c r="KK437"/>
      <c r="KL437"/>
      <c r="KM437"/>
      <c r="KN437"/>
      <c r="KO437"/>
      <c r="KP437"/>
      <c r="KQ437"/>
      <c r="KR437"/>
      <c r="KS437"/>
    </row>
    <row r="438" spans="2:305" hidden="1" x14ac:dyDescent="0.25">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c r="DF438"/>
      <c r="DG438"/>
      <c r="DH438"/>
      <c r="DI438"/>
      <c r="DJ438"/>
      <c r="DK438"/>
      <c r="DL438"/>
      <c r="DM438"/>
      <c r="DN438"/>
      <c r="DO438"/>
      <c r="DP438"/>
      <c r="DQ438"/>
      <c r="DR438"/>
      <c r="DS438"/>
      <c r="DT438"/>
      <c r="DU438"/>
      <c r="DV438"/>
      <c r="DW438"/>
      <c r="DX438"/>
      <c r="DY438"/>
      <c r="DZ438"/>
      <c r="EA438"/>
      <c r="EB438"/>
      <c r="EC438"/>
      <c r="ED438"/>
      <c r="EE438"/>
      <c r="EF438"/>
      <c r="EG438"/>
      <c r="EH438"/>
      <c r="EI438"/>
      <c r="EJ438"/>
      <c r="EK438"/>
      <c r="EL438"/>
      <c r="EM438"/>
      <c r="EN438"/>
      <c r="EO438"/>
      <c r="EP438"/>
      <c r="EQ438"/>
      <c r="ER438"/>
      <c r="ES438"/>
      <c r="ET438"/>
      <c r="EU438"/>
      <c r="EV438"/>
      <c r="EW438"/>
      <c r="EX438"/>
      <c r="EY438"/>
      <c r="EZ438"/>
      <c r="FA438"/>
      <c r="FB438"/>
      <c r="FC438"/>
      <c r="FD438"/>
      <c r="FE438"/>
      <c r="FF438"/>
      <c r="FG438"/>
      <c r="FH438"/>
      <c r="FI438"/>
      <c r="FJ438"/>
      <c r="FK438"/>
      <c r="FL438"/>
      <c r="FM438"/>
      <c r="FN438"/>
      <c r="FO438"/>
      <c r="FP438"/>
      <c r="FQ438"/>
      <c r="FR438"/>
      <c r="FS438"/>
      <c r="FT438"/>
      <c r="FU438"/>
      <c r="FV438"/>
      <c r="FW438"/>
      <c r="FX438"/>
      <c r="FY438"/>
      <c r="FZ438"/>
      <c r="GA438"/>
      <c r="GB438"/>
      <c r="GC438"/>
      <c r="GD438"/>
      <c r="GE438"/>
      <c r="GF438"/>
      <c r="GG438"/>
      <c r="GH438"/>
      <c r="GI438"/>
      <c r="GJ438"/>
      <c r="GK438"/>
      <c r="GL438"/>
      <c r="GM438"/>
      <c r="GN438"/>
      <c r="GO438"/>
      <c r="GP438"/>
      <c r="GQ438"/>
      <c r="GR438"/>
      <c r="GS438"/>
      <c r="GT438"/>
      <c r="GU438"/>
      <c r="GV438"/>
      <c r="GW438"/>
      <c r="GX438"/>
      <c r="GY438"/>
      <c r="GZ438"/>
      <c r="HA438"/>
      <c r="HB438"/>
      <c r="HC438"/>
      <c r="HD438"/>
      <c r="HE438"/>
      <c r="HF438"/>
      <c r="HG438"/>
      <c r="HH438"/>
      <c r="HI438"/>
      <c r="HJ438"/>
      <c r="HK438"/>
      <c r="HL438"/>
      <c r="HM438"/>
      <c r="HN438"/>
      <c r="HO438"/>
      <c r="HP438"/>
      <c r="HQ438"/>
      <c r="HR438"/>
      <c r="HS438"/>
      <c r="HT438"/>
      <c r="HU438"/>
      <c r="HV438"/>
      <c r="HW438"/>
      <c r="HX438"/>
      <c r="HY438"/>
      <c r="HZ438"/>
      <c r="IA438"/>
      <c r="IB438"/>
      <c r="IC438"/>
      <c r="ID438"/>
      <c r="IE438"/>
      <c r="IF438"/>
      <c r="IG438"/>
      <c r="IH438"/>
      <c r="II438"/>
      <c r="IJ438"/>
      <c r="IK438"/>
      <c r="IL438"/>
      <c r="IM438"/>
      <c r="IN438"/>
      <c r="IO438"/>
      <c r="IP438"/>
      <c r="IQ438"/>
      <c r="IR438"/>
      <c r="IS438"/>
      <c r="IT438"/>
      <c r="IU438"/>
      <c r="IV438"/>
      <c r="IW438"/>
      <c r="IX438"/>
      <c r="IY438"/>
      <c r="IZ438"/>
      <c r="JA438"/>
      <c r="JB438"/>
      <c r="JC438"/>
      <c r="JD438"/>
      <c r="JE438"/>
      <c r="JF438"/>
      <c r="JG438"/>
      <c r="JH438"/>
      <c r="JI438"/>
      <c r="JJ438"/>
      <c r="JK438"/>
      <c r="JL438"/>
      <c r="JM438"/>
      <c r="JN438"/>
      <c r="JO438"/>
      <c r="JP438"/>
      <c r="JQ438"/>
      <c r="JR438"/>
      <c r="JS438"/>
      <c r="JT438"/>
      <c r="JU438"/>
      <c r="JV438"/>
      <c r="JW438"/>
      <c r="JX438"/>
      <c r="JY438"/>
      <c r="JZ438"/>
      <c r="KA438"/>
      <c r="KB438"/>
      <c r="KC438"/>
      <c r="KD438"/>
      <c r="KE438"/>
      <c r="KF438"/>
      <c r="KG438"/>
      <c r="KH438"/>
      <c r="KI438"/>
      <c r="KJ438"/>
      <c r="KK438"/>
      <c r="KL438"/>
      <c r="KM438"/>
      <c r="KN438"/>
      <c r="KO438"/>
      <c r="KP438"/>
      <c r="KQ438"/>
      <c r="KR438"/>
      <c r="KS438"/>
    </row>
    <row r="439" spans="2:305" hidden="1" x14ac:dyDescent="0.25">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c r="DF439"/>
      <c r="DG439"/>
      <c r="DH439"/>
      <c r="DI439"/>
      <c r="DJ439"/>
      <c r="DK439"/>
      <c r="DL439"/>
      <c r="DM439"/>
      <c r="DN439"/>
      <c r="DO439"/>
      <c r="DP439"/>
      <c r="DQ439"/>
      <c r="DR439"/>
      <c r="DS439"/>
      <c r="DT439"/>
      <c r="DU439"/>
      <c r="DV439"/>
      <c r="DW439"/>
      <c r="DX439"/>
      <c r="DY439"/>
      <c r="DZ439"/>
      <c r="EA439"/>
      <c r="EB439"/>
      <c r="EC439"/>
      <c r="ED439"/>
      <c r="EE439"/>
      <c r="EF439"/>
      <c r="EG439"/>
      <c r="EH439"/>
      <c r="EI439"/>
      <c r="EJ439"/>
      <c r="EK439"/>
      <c r="EL439"/>
      <c r="EM439"/>
      <c r="EN439"/>
      <c r="EO439"/>
      <c r="EP439"/>
      <c r="EQ439"/>
      <c r="ER439"/>
      <c r="ES439"/>
      <c r="ET439"/>
      <c r="EU439"/>
      <c r="EV439"/>
      <c r="EW439"/>
      <c r="EX439"/>
      <c r="EY439"/>
      <c r="EZ439"/>
      <c r="FA439"/>
      <c r="FB439"/>
      <c r="FC439"/>
      <c r="FD439"/>
      <c r="FE439"/>
      <c r="FF439"/>
      <c r="FG439"/>
      <c r="FH439"/>
      <c r="FI439"/>
      <c r="FJ439"/>
      <c r="FK439"/>
      <c r="FL439"/>
      <c r="FM439"/>
      <c r="FN439"/>
      <c r="FO439"/>
      <c r="FP439"/>
      <c r="FQ439"/>
      <c r="FR439"/>
      <c r="FS439"/>
      <c r="FT439"/>
      <c r="FU439"/>
      <c r="FV439"/>
      <c r="FW439"/>
      <c r="FX439"/>
      <c r="FY439"/>
      <c r="FZ439"/>
      <c r="GA439"/>
      <c r="GB439"/>
      <c r="GC439"/>
      <c r="GD439"/>
      <c r="GE439"/>
      <c r="GF439"/>
      <c r="GG439"/>
      <c r="GH439"/>
      <c r="GI439"/>
      <c r="GJ439"/>
      <c r="GK439"/>
      <c r="GL439"/>
      <c r="GM439"/>
      <c r="GN439"/>
      <c r="GO439"/>
      <c r="GP439"/>
      <c r="GQ439"/>
      <c r="GR439"/>
      <c r="GS439"/>
      <c r="GT439"/>
      <c r="GU439"/>
      <c r="GV439"/>
      <c r="GW439"/>
      <c r="GX439"/>
      <c r="GY439"/>
      <c r="GZ439"/>
      <c r="HA439"/>
      <c r="HB439"/>
      <c r="HC439"/>
      <c r="HD439"/>
      <c r="HE439"/>
      <c r="HF439"/>
      <c r="HG439"/>
      <c r="HH439"/>
      <c r="HI439"/>
      <c r="HJ439"/>
      <c r="HK439"/>
      <c r="HL439"/>
      <c r="HM439"/>
      <c r="HN439"/>
      <c r="HO439"/>
      <c r="HP439"/>
      <c r="HQ439"/>
      <c r="HR439"/>
      <c r="HS439"/>
      <c r="HT439"/>
      <c r="HU439"/>
      <c r="HV439"/>
      <c r="HW439"/>
      <c r="HX439"/>
      <c r="HY439"/>
      <c r="HZ439"/>
      <c r="IA439"/>
      <c r="IB439"/>
      <c r="IC439"/>
      <c r="ID439"/>
      <c r="IE439"/>
      <c r="IF439"/>
      <c r="IG439"/>
      <c r="IH439"/>
      <c r="II439"/>
      <c r="IJ439"/>
      <c r="IK439"/>
      <c r="IL439"/>
      <c r="IM439"/>
      <c r="IN439"/>
      <c r="IO439"/>
      <c r="IP439"/>
      <c r="IQ439"/>
      <c r="IR439"/>
      <c r="IS439"/>
      <c r="IT439"/>
      <c r="IU439"/>
      <c r="IV439"/>
      <c r="IW439"/>
      <c r="IX439"/>
      <c r="IY439"/>
      <c r="IZ439"/>
      <c r="JA439"/>
      <c r="JB439"/>
      <c r="JC439"/>
      <c r="JD439"/>
      <c r="JE439"/>
      <c r="JF439"/>
      <c r="JG439"/>
      <c r="JH439"/>
      <c r="JI439"/>
      <c r="JJ439"/>
      <c r="JK439"/>
      <c r="JL439"/>
      <c r="JM439"/>
      <c r="JN439"/>
      <c r="JO439"/>
      <c r="JP439"/>
      <c r="JQ439"/>
      <c r="JR439"/>
      <c r="JS439"/>
      <c r="JT439"/>
      <c r="JU439"/>
      <c r="JV439"/>
      <c r="JW439"/>
      <c r="JX439"/>
      <c r="JY439"/>
      <c r="JZ439"/>
      <c r="KA439"/>
      <c r="KB439"/>
      <c r="KC439"/>
      <c r="KD439"/>
      <c r="KE439"/>
      <c r="KF439"/>
      <c r="KG439"/>
      <c r="KH439"/>
      <c r="KI439"/>
      <c r="KJ439"/>
      <c r="KK439"/>
      <c r="KL439"/>
      <c r="KM439"/>
      <c r="KN439"/>
      <c r="KO439"/>
      <c r="KP439"/>
      <c r="KQ439"/>
      <c r="KR439"/>
      <c r="KS439"/>
    </row>
    <row r="440" spans="2:305" hidden="1" x14ac:dyDescent="0.25">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c r="DF440"/>
      <c r="DG440"/>
      <c r="DH440"/>
      <c r="DI440"/>
      <c r="DJ440"/>
      <c r="DK440"/>
      <c r="DL440"/>
      <c r="DM440"/>
      <c r="DN440"/>
      <c r="DO440"/>
      <c r="DP440"/>
      <c r="DQ440"/>
      <c r="DR440"/>
      <c r="DS440"/>
      <c r="DT440"/>
      <c r="DU440"/>
      <c r="DV440"/>
      <c r="DW440"/>
      <c r="DX440"/>
      <c r="DY440"/>
      <c r="DZ440"/>
      <c r="EA440"/>
      <c r="EB440"/>
      <c r="EC440"/>
      <c r="ED440"/>
      <c r="EE440"/>
      <c r="EF440"/>
      <c r="EG440"/>
      <c r="EH440"/>
      <c r="EI440"/>
      <c r="EJ440"/>
      <c r="EK440"/>
      <c r="EL440"/>
      <c r="EM440"/>
      <c r="EN440"/>
      <c r="EO440"/>
      <c r="EP440"/>
      <c r="EQ440"/>
      <c r="ER440"/>
      <c r="ES440"/>
      <c r="ET440"/>
      <c r="EU440"/>
      <c r="EV440"/>
      <c r="EW440"/>
      <c r="EX440"/>
      <c r="EY440"/>
      <c r="EZ440"/>
      <c r="FA440"/>
      <c r="FB440"/>
      <c r="FC440"/>
      <c r="FD440"/>
      <c r="FE440"/>
      <c r="FF440"/>
      <c r="FG440"/>
      <c r="FH440"/>
      <c r="FI440"/>
      <c r="FJ440"/>
      <c r="FK440"/>
      <c r="FL440"/>
      <c r="FM440"/>
      <c r="FN440"/>
      <c r="FO440"/>
      <c r="FP440"/>
      <c r="FQ440"/>
      <c r="FR440"/>
      <c r="FS440"/>
      <c r="FT440"/>
      <c r="FU440"/>
      <c r="FV440"/>
      <c r="FW440"/>
      <c r="FX440"/>
      <c r="FY440"/>
      <c r="FZ440"/>
      <c r="GA440"/>
      <c r="GB440"/>
      <c r="GC440"/>
      <c r="GD440"/>
      <c r="GE440"/>
      <c r="GF440"/>
      <c r="GG440"/>
      <c r="GH440"/>
      <c r="GI440"/>
      <c r="GJ440"/>
      <c r="GK440"/>
      <c r="GL440"/>
      <c r="GM440"/>
      <c r="GN440"/>
      <c r="GO440"/>
      <c r="GP440"/>
      <c r="GQ440"/>
      <c r="GR440"/>
      <c r="GS440"/>
      <c r="GT440"/>
      <c r="GU440"/>
      <c r="GV440"/>
      <c r="GW440"/>
      <c r="GX440"/>
      <c r="GY440"/>
      <c r="GZ440"/>
      <c r="HA440"/>
      <c r="HB440"/>
      <c r="HC440"/>
      <c r="HD440"/>
      <c r="HE440"/>
      <c r="HF440"/>
      <c r="HG440"/>
      <c r="HH440"/>
      <c r="HI440"/>
      <c r="HJ440"/>
      <c r="HK440"/>
      <c r="HL440"/>
      <c r="HM440"/>
      <c r="HN440"/>
      <c r="HO440"/>
      <c r="HP440"/>
      <c r="HQ440"/>
      <c r="HR440"/>
      <c r="HS440"/>
      <c r="HT440"/>
      <c r="HU440"/>
      <c r="HV440"/>
      <c r="HW440"/>
      <c r="HX440"/>
      <c r="HY440"/>
      <c r="HZ440"/>
      <c r="IA440"/>
      <c r="IB440"/>
      <c r="IC440"/>
      <c r="ID440"/>
      <c r="IE440"/>
      <c r="IF440"/>
      <c r="IG440"/>
      <c r="IH440"/>
      <c r="II440"/>
      <c r="IJ440"/>
      <c r="IK440"/>
      <c r="IL440"/>
      <c r="IM440"/>
      <c r="IN440"/>
      <c r="IO440"/>
      <c r="IP440"/>
      <c r="IQ440"/>
      <c r="IR440"/>
      <c r="IS440"/>
      <c r="IT440"/>
      <c r="IU440"/>
      <c r="IV440"/>
      <c r="IW440"/>
      <c r="IX440"/>
      <c r="IY440"/>
      <c r="IZ440"/>
      <c r="JA440"/>
      <c r="JB440"/>
      <c r="JC440"/>
      <c r="JD440"/>
      <c r="JE440"/>
      <c r="JF440"/>
      <c r="JG440"/>
      <c r="JH440"/>
      <c r="JI440"/>
      <c r="JJ440"/>
      <c r="JK440"/>
      <c r="JL440"/>
      <c r="JM440"/>
      <c r="JN440"/>
      <c r="JO440"/>
      <c r="JP440"/>
      <c r="JQ440"/>
      <c r="JR440"/>
      <c r="JS440"/>
      <c r="JT440"/>
      <c r="JU440"/>
      <c r="JV440"/>
      <c r="JW440"/>
      <c r="JX440"/>
      <c r="JY440"/>
      <c r="JZ440"/>
      <c r="KA440"/>
      <c r="KB440"/>
      <c r="KC440"/>
      <c r="KD440"/>
      <c r="KE440"/>
      <c r="KF440"/>
      <c r="KG440"/>
      <c r="KH440"/>
      <c r="KI440"/>
      <c r="KJ440"/>
      <c r="KK440"/>
      <c r="KL440"/>
      <c r="KM440"/>
      <c r="KN440"/>
      <c r="KO440"/>
      <c r="KP440"/>
      <c r="KQ440"/>
      <c r="KR440"/>
      <c r="KS440"/>
    </row>
    <row r="441" spans="2:305" hidden="1" x14ac:dyDescent="0.25">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c r="DF441"/>
      <c r="DG441"/>
      <c r="DH441"/>
      <c r="DI441"/>
      <c r="DJ441"/>
      <c r="DK441"/>
      <c r="DL441"/>
      <c r="DM441"/>
      <c r="DN441"/>
      <c r="DO441"/>
      <c r="DP441"/>
      <c r="DQ441"/>
      <c r="DR441"/>
      <c r="DS441"/>
      <c r="DT441"/>
      <c r="DU441"/>
      <c r="DV441"/>
      <c r="DW441"/>
      <c r="DX441"/>
      <c r="DY441"/>
      <c r="DZ441"/>
      <c r="EA441"/>
      <c r="EB441"/>
      <c r="EC441"/>
      <c r="ED441"/>
      <c r="EE441"/>
      <c r="EF441"/>
      <c r="EG441"/>
      <c r="EH441"/>
      <c r="EI441"/>
      <c r="EJ441"/>
      <c r="EK441"/>
      <c r="EL441"/>
      <c r="EM441"/>
      <c r="EN441"/>
      <c r="EO441"/>
      <c r="EP441"/>
      <c r="EQ441"/>
      <c r="ER441"/>
      <c r="ES441"/>
      <c r="ET441"/>
      <c r="EU441"/>
      <c r="EV441"/>
      <c r="EW441"/>
      <c r="EX441"/>
      <c r="EY441"/>
      <c r="EZ441"/>
      <c r="FA441"/>
      <c r="FB441"/>
      <c r="FC441"/>
      <c r="FD441"/>
      <c r="FE441"/>
      <c r="FF441"/>
      <c r="FG441"/>
      <c r="FH441"/>
      <c r="FI441"/>
      <c r="FJ441"/>
      <c r="FK441"/>
      <c r="FL441"/>
      <c r="FM441"/>
      <c r="FN441"/>
      <c r="FO441"/>
      <c r="FP441"/>
      <c r="FQ441"/>
      <c r="FR441"/>
      <c r="FS441"/>
      <c r="FT441"/>
      <c r="FU441"/>
      <c r="FV441"/>
      <c r="FW441"/>
      <c r="FX441"/>
      <c r="FY441"/>
      <c r="FZ441"/>
      <c r="GA441"/>
      <c r="GB441"/>
      <c r="GC441"/>
      <c r="GD441"/>
      <c r="GE441"/>
      <c r="GF441"/>
      <c r="GG441"/>
      <c r="GH441"/>
      <c r="GI441"/>
      <c r="GJ441"/>
      <c r="GK441"/>
      <c r="GL441"/>
      <c r="GM441"/>
      <c r="GN441"/>
      <c r="GO441"/>
      <c r="GP441"/>
      <c r="GQ441"/>
      <c r="GR441"/>
      <c r="GS441"/>
      <c r="GT441"/>
      <c r="GU441"/>
      <c r="GV441"/>
      <c r="GW441"/>
      <c r="GX441"/>
      <c r="GY441"/>
      <c r="GZ441"/>
      <c r="HA441"/>
      <c r="HB441"/>
      <c r="HC441"/>
      <c r="HD441"/>
      <c r="HE441"/>
      <c r="HF441"/>
      <c r="HG441"/>
      <c r="HH441"/>
      <c r="HI441"/>
      <c r="HJ441"/>
      <c r="HK441"/>
      <c r="HL441"/>
      <c r="HM441"/>
      <c r="HN441"/>
      <c r="HO441"/>
      <c r="HP441"/>
      <c r="HQ441"/>
      <c r="HR441"/>
      <c r="HS441"/>
      <c r="HT441"/>
      <c r="HU441"/>
      <c r="HV441"/>
      <c r="HW441"/>
      <c r="HX441"/>
      <c r="HY441"/>
      <c r="HZ441"/>
      <c r="IA441"/>
      <c r="IB441"/>
      <c r="IC441"/>
      <c r="ID441"/>
      <c r="IE441"/>
      <c r="IF441"/>
      <c r="IG441"/>
      <c r="IH441"/>
      <c r="II441"/>
      <c r="IJ441"/>
      <c r="IK441"/>
      <c r="IL441"/>
      <c r="IM441"/>
      <c r="IN441"/>
      <c r="IO441"/>
      <c r="IP441"/>
      <c r="IQ441"/>
      <c r="IR441"/>
      <c r="IS441"/>
      <c r="IT441"/>
      <c r="IU441"/>
      <c r="IV441"/>
      <c r="IW441"/>
      <c r="IX441"/>
      <c r="IY441"/>
      <c r="IZ441"/>
      <c r="JA441"/>
      <c r="JB441"/>
      <c r="JC441"/>
      <c r="JD441"/>
      <c r="JE441"/>
      <c r="JF441"/>
      <c r="JG441"/>
      <c r="JH441"/>
      <c r="JI441"/>
      <c r="JJ441"/>
      <c r="JK441"/>
      <c r="JL441"/>
      <c r="JM441"/>
      <c r="JN441"/>
      <c r="JO441"/>
      <c r="JP441"/>
      <c r="JQ441"/>
      <c r="JR441"/>
      <c r="JS441"/>
      <c r="JT441"/>
      <c r="JU441"/>
      <c r="JV441"/>
      <c r="JW441"/>
      <c r="JX441"/>
      <c r="JY441"/>
      <c r="JZ441"/>
      <c r="KA441"/>
      <c r="KB441"/>
      <c r="KC441"/>
      <c r="KD441"/>
      <c r="KE441"/>
      <c r="KF441"/>
      <c r="KG441"/>
      <c r="KH441"/>
      <c r="KI441"/>
      <c r="KJ441"/>
      <c r="KK441"/>
      <c r="KL441"/>
      <c r="KM441"/>
      <c r="KN441"/>
      <c r="KO441"/>
      <c r="KP441"/>
      <c r="KQ441"/>
      <c r="KR441"/>
      <c r="KS441"/>
    </row>
    <row r="442" spans="2:305" hidden="1" x14ac:dyDescent="0.25">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c r="DF442"/>
      <c r="DG442"/>
      <c r="DH442"/>
      <c r="DI442"/>
      <c r="DJ442"/>
      <c r="DK442"/>
      <c r="DL442"/>
      <c r="DM442"/>
      <c r="DN442"/>
      <c r="DO442"/>
      <c r="DP442"/>
      <c r="DQ442"/>
      <c r="DR442"/>
      <c r="DS442"/>
      <c r="DT442"/>
      <c r="DU442"/>
      <c r="DV442"/>
      <c r="DW442"/>
      <c r="DX442"/>
      <c r="DY442"/>
      <c r="DZ442"/>
      <c r="EA442"/>
      <c r="EB442"/>
      <c r="EC442"/>
      <c r="ED442"/>
      <c r="EE442"/>
      <c r="EF442"/>
      <c r="EG442"/>
      <c r="EH442"/>
      <c r="EI442"/>
      <c r="EJ442"/>
      <c r="EK442"/>
      <c r="EL442"/>
      <c r="EM442"/>
      <c r="EN442"/>
      <c r="EO442"/>
      <c r="EP442"/>
      <c r="EQ442"/>
      <c r="ER442"/>
      <c r="ES442"/>
      <c r="ET442"/>
      <c r="EU442"/>
      <c r="EV442"/>
      <c r="EW442"/>
      <c r="EX442"/>
      <c r="EY442"/>
      <c r="EZ442"/>
      <c r="FA442"/>
      <c r="FB442"/>
      <c r="FC442"/>
      <c r="FD442"/>
      <c r="FE442"/>
      <c r="FF442"/>
      <c r="FG442"/>
      <c r="FH442"/>
      <c r="FI442"/>
      <c r="FJ442"/>
      <c r="FK442"/>
      <c r="FL442"/>
      <c r="FM442"/>
      <c r="FN442"/>
      <c r="FO442"/>
      <c r="FP442"/>
      <c r="FQ442"/>
      <c r="FR442"/>
      <c r="FS442"/>
      <c r="FT442"/>
      <c r="FU442"/>
      <c r="FV442"/>
      <c r="FW442"/>
      <c r="FX442"/>
      <c r="FY442"/>
      <c r="FZ442"/>
      <c r="GA442"/>
      <c r="GB442"/>
      <c r="GC442"/>
      <c r="GD442"/>
      <c r="GE442"/>
      <c r="GF442"/>
      <c r="GG442"/>
      <c r="GH442"/>
      <c r="GI442"/>
      <c r="GJ442"/>
      <c r="GK442"/>
      <c r="GL442"/>
      <c r="GM442"/>
      <c r="GN442"/>
      <c r="GO442"/>
      <c r="GP442"/>
      <c r="GQ442"/>
      <c r="GR442"/>
      <c r="GS442"/>
      <c r="GT442"/>
      <c r="GU442"/>
      <c r="GV442"/>
      <c r="GW442"/>
      <c r="GX442"/>
      <c r="GY442"/>
      <c r="GZ442"/>
      <c r="HA442"/>
      <c r="HB442"/>
      <c r="HC442"/>
      <c r="HD442"/>
      <c r="HE442"/>
      <c r="HF442"/>
      <c r="HG442"/>
      <c r="HH442"/>
      <c r="HI442"/>
      <c r="HJ442"/>
      <c r="HK442"/>
      <c r="HL442"/>
      <c r="HM442"/>
      <c r="HN442"/>
      <c r="HO442"/>
      <c r="HP442"/>
      <c r="HQ442"/>
      <c r="HR442"/>
      <c r="HS442"/>
      <c r="HT442"/>
      <c r="HU442"/>
      <c r="HV442"/>
      <c r="HW442"/>
      <c r="HX442"/>
      <c r="HY442"/>
      <c r="HZ442"/>
      <c r="IA442"/>
      <c r="IB442"/>
      <c r="IC442"/>
      <c r="ID442"/>
      <c r="IE442"/>
      <c r="IF442"/>
      <c r="IG442"/>
      <c r="IH442"/>
      <c r="II442"/>
      <c r="IJ442"/>
      <c r="IK442"/>
      <c r="IL442"/>
      <c r="IM442"/>
      <c r="IN442"/>
      <c r="IO442"/>
      <c r="IP442"/>
      <c r="IQ442"/>
      <c r="IR442"/>
      <c r="IS442"/>
      <c r="IT442"/>
      <c r="IU442"/>
      <c r="IV442"/>
      <c r="IW442"/>
      <c r="IX442"/>
      <c r="IY442"/>
      <c r="IZ442"/>
      <c r="JA442"/>
      <c r="JB442"/>
      <c r="JC442"/>
      <c r="JD442"/>
      <c r="JE442"/>
      <c r="JF442"/>
      <c r="JG442"/>
      <c r="JH442"/>
      <c r="JI442"/>
      <c r="JJ442"/>
      <c r="JK442"/>
      <c r="JL442"/>
      <c r="JM442"/>
      <c r="JN442"/>
      <c r="JO442"/>
      <c r="JP442"/>
      <c r="JQ442"/>
      <c r="JR442"/>
      <c r="JS442"/>
      <c r="JT442"/>
      <c r="JU442"/>
      <c r="JV442"/>
      <c r="JW442"/>
      <c r="JX442"/>
      <c r="JY442"/>
      <c r="JZ442"/>
      <c r="KA442"/>
      <c r="KB442"/>
      <c r="KC442"/>
      <c r="KD442"/>
      <c r="KE442"/>
      <c r="KF442"/>
      <c r="KG442"/>
      <c r="KH442"/>
      <c r="KI442"/>
      <c r="KJ442"/>
      <c r="KK442"/>
      <c r="KL442"/>
      <c r="KM442"/>
      <c r="KN442"/>
      <c r="KO442"/>
      <c r="KP442"/>
      <c r="KQ442"/>
      <c r="KR442"/>
      <c r="KS442"/>
    </row>
    <row r="443" spans="2:305" hidden="1" x14ac:dyDescent="0.25">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c r="DF443"/>
      <c r="DG443"/>
      <c r="DH443"/>
      <c r="DI443"/>
      <c r="DJ443"/>
      <c r="DK443"/>
      <c r="DL443"/>
      <c r="DM443"/>
      <c r="DN443"/>
      <c r="DO443"/>
      <c r="DP443"/>
      <c r="DQ443"/>
      <c r="DR443"/>
      <c r="DS443"/>
      <c r="DT443"/>
      <c r="DU443"/>
      <c r="DV443"/>
      <c r="DW443"/>
      <c r="DX443"/>
      <c r="DY443"/>
      <c r="DZ443"/>
      <c r="EA443"/>
      <c r="EB443"/>
      <c r="EC443"/>
      <c r="ED443"/>
      <c r="EE443"/>
      <c r="EF443"/>
      <c r="EG443"/>
      <c r="EH443"/>
      <c r="EI443"/>
      <c r="EJ443"/>
      <c r="EK443"/>
      <c r="EL443"/>
      <c r="EM443"/>
      <c r="EN443"/>
      <c r="EO443"/>
      <c r="EP443"/>
      <c r="EQ443"/>
      <c r="ER443"/>
      <c r="ES443"/>
      <c r="ET443"/>
      <c r="EU443"/>
      <c r="EV443"/>
      <c r="EW443"/>
      <c r="EX443"/>
      <c r="EY443"/>
      <c r="EZ443"/>
      <c r="FA443"/>
      <c r="FB443"/>
      <c r="FC443"/>
      <c r="FD443"/>
      <c r="FE443"/>
      <c r="FF443"/>
      <c r="FG443"/>
      <c r="FH443"/>
      <c r="FI443"/>
      <c r="FJ443"/>
      <c r="FK443"/>
      <c r="FL443"/>
      <c r="FM443"/>
      <c r="FN443"/>
      <c r="FO443"/>
      <c r="FP443"/>
      <c r="FQ443"/>
      <c r="FR443"/>
      <c r="FS443"/>
      <c r="FT443"/>
      <c r="FU443"/>
      <c r="FV443"/>
      <c r="FW443"/>
      <c r="FX443"/>
      <c r="FY443"/>
      <c r="FZ443"/>
      <c r="GA443"/>
      <c r="GB443"/>
      <c r="GC443"/>
      <c r="GD443"/>
      <c r="GE443"/>
      <c r="GF443"/>
      <c r="GG443"/>
      <c r="GH443"/>
      <c r="GI443"/>
      <c r="GJ443"/>
      <c r="GK443"/>
      <c r="GL443"/>
      <c r="GM443"/>
      <c r="GN443"/>
      <c r="GO443"/>
      <c r="GP443"/>
      <c r="GQ443"/>
      <c r="GR443"/>
      <c r="GS443"/>
      <c r="GT443"/>
      <c r="GU443"/>
      <c r="GV443"/>
      <c r="GW443"/>
      <c r="GX443"/>
      <c r="GY443"/>
      <c r="GZ443"/>
      <c r="HA443"/>
      <c r="HB443"/>
      <c r="HC443"/>
      <c r="HD443"/>
      <c r="HE443"/>
      <c r="HF443"/>
      <c r="HG443"/>
      <c r="HH443"/>
      <c r="HI443"/>
      <c r="HJ443"/>
      <c r="HK443"/>
      <c r="HL443"/>
      <c r="HM443"/>
      <c r="HN443"/>
      <c r="HO443"/>
      <c r="HP443"/>
      <c r="HQ443"/>
      <c r="HR443"/>
      <c r="HS443"/>
      <c r="HT443"/>
      <c r="HU443"/>
      <c r="HV443"/>
      <c r="HW443"/>
      <c r="HX443"/>
      <c r="HY443"/>
      <c r="HZ443"/>
      <c r="IA443"/>
      <c r="IB443"/>
      <c r="IC443"/>
      <c r="ID443"/>
      <c r="IE443"/>
      <c r="IF443"/>
      <c r="IG443"/>
      <c r="IH443"/>
      <c r="II443"/>
      <c r="IJ443"/>
      <c r="IK443"/>
      <c r="IL443"/>
      <c r="IM443"/>
      <c r="IN443"/>
      <c r="IO443"/>
      <c r="IP443"/>
      <c r="IQ443"/>
      <c r="IR443"/>
      <c r="IS443"/>
      <c r="IT443"/>
      <c r="IU443"/>
      <c r="IV443"/>
      <c r="IW443"/>
      <c r="IX443"/>
      <c r="IY443"/>
      <c r="IZ443"/>
      <c r="JA443"/>
      <c r="JB443"/>
      <c r="JC443"/>
      <c r="JD443"/>
      <c r="JE443"/>
      <c r="JF443"/>
      <c r="JG443"/>
      <c r="JH443"/>
      <c r="JI443"/>
      <c r="JJ443"/>
      <c r="JK443"/>
      <c r="JL443"/>
      <c r="JM443"/>
      <c r="JN443"/>
      <c r="JO443"/>
      <c r="JP443"/>
      <c r="JQ443"/>
      <c r="JR443"/>
      <c r="JS443"/>
      <c r="JT443"/>
      <c r="JU443"/>
      <c r="JV443"/>
      <c r="JW443"/>
      <c r="JX443"/>
      <c r="JY443"/>
      <c r="JZ443"/>
      <c r="KA443"/>
      <c r="KB443"/>
      <c r="KC443"/>
      <c r="KD443"/>
      <c r="KE443"/>
      <c r="KF443"/>
      <c r="KG443"/>
      <c r="KH443"/>
      <c r="KI443"/>
      <c r="KJ443"/>
      <c r="KK443"/>
      <c r="KL443"/>
      <c r="KM443"/>
      <c r="KN443"/>
      <c r="KO443"/>
      <c r="KP443"/>
      <c r="KQ443"/>
      <c r="KR443"/>
      <c r="KS443"/>
    </row>
    <row r="444" spans="2:305" hidden="1" x14ac:dyDescent="0.25">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c r="DF444"/>
      <c r="DG444"/>
      <c r="DH444"/>
      <c r="DI444"/>
      <c r="DJ444"/>
      <c r="DK444"/>
      <c r="DL444"/>
      <c r="DM444"/>
      <c r="DN444"/>
      <c r="DO444"/>
      <c r="DP444"/>
      <c r="DQ444"/>
      <c r="DR444"/>
      <c r="DS444"/>
      <c r="DT444"/>
      <c r="DU444"/>
      <c r="DV444"/>
      <c r="DW444"/>
      <c r="DX444"/>
      <c r="DY444"/>
      <c r="DZ444"/>
      <c r="EA444"/>
      <c r="EB444"/>
      <c r="EC444"/>
      <c r="ED444"/>
      <c r="EE444"/>
      <c r="EF444"/>
      <c r="EG444"/>
      <c r="EH444"/>
      <c r="EI444"/>
      <c r="EJ444"/>
      <c r="EK444"/>
      <c r="EL444"/>
      <c r="EM444"/>
      <c r="EN444"/>
      <c r="EO444"/>
      <c r="EP444"/>
      <c r="EQ444"/>
      <c r="ER444"/>
      <c r="ES444"/>
      <c r="ET444"/>
      <c r="EU444"/>
      <c r="EV444"/>
      <c r="EW444"/>
      <c r="EX444"/>
      <c r="EY444"/>
      <c r="EZ444"/>
      <c r="FA444"/>
      <c r="FB444"/>
      <c r="FC444"/>
      <c r="FD444"/>
      <c r="FE444"/>
      <c r="FF444"/>
      <c r="FG444"/>
      <c r="FH444"/>
      <c r="FI444"/>
      <c r="FJ444"/>
      <c r="FK444"/>
      <c r="FL444"/>
      <c r="FM444"/>
      <c r="FN444"/>
      <c r="FO444"/>
      <c r="FP444"/>
      <c r="FQ444"/>
      <c r="FR444"/>
      <c r="FS444"/>
      <c r="FT444"/>
      <c r="FU444"/>
      <c r="FV444"/>
      <c r="FW444"/>
      <c r="FX444"/>
      <c r="FY444"/>
      <c r="FZ444"/>
      <c r="GA444"/>
      <c r="GB444"/>
      <c r="GC444"/>
      <c r="GD444"/>
      <c r="GE444"/>
      <c r="GF444"/>
      <c r="GG444"/>
      <c r="GH444"/>
      <c r="GI444"/>
      <c r="GJ444"/>
      <c r="GK444"/>
      <c r="GL444"/>
      <c r="GM444"/>
      <c r="GN444"/>
      <c r="GO444"/>
      <c r="GP444"/>
      <c r="GQ444"/>
      <c r="GR444"/>
      <c r="GS444"/>
      <c r="GT444"/>
      <c r="GU444"/>
      <c r="GV444"/>
      <c r="GW444"/>
      <c r="GX444"/>
      <c r="GY444"/>
      <c r="GZ444"/>
      <c r="HA444"/>
      <c r="HB444"/>
      <c r="HC444"/>
      <c r="HD444"/>
      <c r="HE444"/>
      <c r="HF444"/>
      <c r="HG444"/>
      <c r="HH444"/>
      <c r="HI444"/>
      <c r="HJ444"/>
      <c r="HK444"/>
      <c r="HL444"/>
      <c r="HM444"/>
      <c r="HN444"/>
      <c r="HO444"/>
      <c r="HP444"/>
      <c r="HQ444"/>
      <c r="HR444"/>
      <c r="HS444"/>
      <c r="HT444"/>
      <c r="HU444"/>
      <c r="HV444"/>
      <c r="HW444"/>
      <c r="HX444"/>
      <c r="HY444"/>
      <c r="HZ444"/>
      <c r="IA444"/>
      <c r="IB444"/>
      <c r="IC444"/>
      <c r="ID444"/>
      <c r="IE444"/>
      <c r="IF444"/>
      <c r="IG444"/>
      <c r="IH444"/>
      <c r="II444"/>
      <c r="IJ444"/>
      <c r="IK444"/>
      <c r="IL444"/>
      <c r="IM444"/>
      <c r="IN444"/>
      <c r="IO444"/>
      <c r="IP444"/>
      <c r="IQ444"/>
      <c r="IR444"/>
      <c r="IS444"/>
      <c r="IT444"/>
      <c r="IU444"/>
      <c r="IV444"/>
      <c r="IW444"/>
      <c r="IX444"/>
      <c r="IY444"/>
      <c r="IZ444"/>
      <c r="JA444"/>
      <c r="JB444"/>
      <c r="JC444"/>
      <c r="JD444"/>
      <c r="JE444"/>
      <c r="JF444"/>
      <c r="JG444"/>
      <c r="JH444"/>
      <c r="JI444"/>
      <c r="JJ444"/>
      <c r="JK444"/>
      <c r="JL444"/>
      <c r="JM444"/>
      <c r="JN444"/>
      <c r="JO444"/>
      <c r="JP444"/>
      <c r="JQ444"/>
      <c r="JR444"/>
      <c r="JS444"/>
      <c r="JT444"/>
      <c r="JU444"/>
      <c r="JV444"/>
      <c r="JW444"/>
      <c r="JX444"/>
      <c r="JY444"/>
      <c r="JZ444"/>
      <c r="KA444"/>
      <c r="KB444"/>
      <c r="KC444"/>
      <c r="KD444"/>
      <c r="KE444"/>
      <c r="KF444"/>
      <c r="KG444"/>
      <c r="KH444"/>
      <c r="KI444"/>
      <c r="KJ444"/>
      <c r="KK444"/>
      <c r="KL444"/>
      <c r="KM444"/>
      <c r="KN444"/>
      <c r="KO444"/>
      <c r="KP444"/>
      <c r="KQ444"/>
      <c r="KR444"/>
      <c r="KS444"/>
    </row>
    <row r="445" spans="2:305" hidden="1" x14ac:dyDescent="0.2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c r="DF445"/>
      <c r="DG445"/>
      <c r="DH445"/>
      <c r="DI445"/>
      <c r="DJ445"/>
      <c r="DK445"/>
      <c r="DL445"/>
      <c r="DM445"/>
      <c r="DN445"/>
      <c r="DO445"/>
      <c r="DP445"/>
      <c r="DQ445"/>
      <c r="DR445"/>
      <c r="DS445"/>
      <c r="DT445"/>
      <c r="DU445"/>
      <c r="DV445"/>
      <c r="DW445"/>
      <c r="DX445"/>
      <c r="DY445"/>
      <c r="DZ445"/>
      <c r="EA445"/>
      <c r="EB445"/>
      <c r="EC445"/>
      <c r="ED445"/>
      <c r="EE445"/>
      <c r="EF445"/>
      <c r="EG445"/>
      <c r="EH445"/>
      <c r="EI445"/>
      <c r="EJ445"/>
      <c r="EK445"/>
      <c r="EL445"/>
      <c r="EM445"/>
      <c r="EN445"/>
      <c r="EO445"/>
      <c r="EP445"/>
      <c r="EQ445"/>
      <c r="ER445"/>
      <c r="ES445"/>
      <c r="ET445"/>
      <c r="EU445"/>
      <c r="EV445"/>
      <c r="EW445"/>
      <c r="EX445"/>
      <c r="EY445"/>
      <c r="EZ445"/>
      <c r="FA445"/>
      <c r="FB445"/>
      <c r="FC445"/>
      <c r="FD445"/>
      <c r="FE445"/>
      <c r="FF445"/>
      <c r="FG445"/>
      <c r="FH445"/>
      <c r="FI445"/>
      <c r="FJ445"/>
      <c r="FK445"/>
      <c r="FL445"/>
      <c r="FM445"/>
      <c r="FN445"/>
      <c r="FO445"/>
      <c r="FP445"/>
      <c r="FQ445"/>
      <c r="FR445"/>
      <c r="FS445"/>
      <c r="FT445"/>
      <c r="FU445"/>
      <c r="FV445"/>
      <c r="FW445"/>
      <c r="FX445"/>
      <c r="FY445"/>
      <c r="FZ445"/>
      <c r="GA445"/>
      <c r="GB445"/>
      <c r="GC445"/>
      <c r="GD445"/>
      <c r="GE445"/>
      <c r="GF445"/>
      <c r="GG445"/>
      <c r="GH445"/>
      <c r="GI445"/>
      <c r="GJ445"/>
      <c r="GK445"/>
      <c r="GL445"/>
      <c r="GM445"/>
      <c r="GN445"/>
      <c r="GO445"/>
      <c r="GP445"/>
      <c r="GQ445"/>
      <c r="GR445"/>
      <c r="GS445"/>
      <c r="GT445"/>
      <c r="GU445"/>
      <c r="GV445"/>
      <c r="GW445"/>
      <c r="GX445"/>
      <c r="GY445"/>
      <c r="GZ445"/>
      <c r="HA445"/>
      <c r="HB445"/>
      <c r="HC445"/>
      <c r="HD445"/>
      <c r="HE445"/>
      <c r="HF445"/>
      <c r="HG445"/>
      <c r="HH445"/>
      <c r="HI445"/>
      <c r="HJ445"/>
      <c r="HK445"/>
      <c r="HL445"/>
      <c r="HM445"/>
      <c r="HN445"/>
      <c r="HO445"/>
      <c r="HP445"/>
      <c r="HQ445"/>
      <c r="HR445"/>
      <c r="HS445"/>
      <c r="HT445"/>
      <c r="HU445"/>
      <c r="HV445"/>
      <c r="HW445"/>
      <c r="HX445"/>
      <c r="HY445"/>
      <c r="HZ445"/>
      <c r="IA445"/>
      <c r="IB445"/>
      <c r="IC445"/>
      <c r="ID445"/>
      <c r="IE445"/>
      <c r="IF445"/>
      <c r="IG445"/>
      <c r="IH445"/>
      <c r="II445"/>
      <c r="IJ445"/>
      <c r="IK445"/>
      <c r="IL445"/>
      <c r="IM445"/>
      <c r="IN445"/>
      <c r="IO445"/>
      <c r="IP445"/>
      <c r="IQ445"/>
      <c r="IR445"/>
      <c r="IS445"/>
      <c r="IT445"/>
      <c r="IU445"/>
      <c r="IV445"/>
      <c r="IW445"/>
      <c r="IX445"/>
      <c r="IY445"/>
      <c r="IZ445"/>
      <c r="JA445"/>
      <c r="JB445"/>
      <c r="JC445"/>
      <c r="JD445"/>
      <c r="JE445"/>
      <c r="JF445"/>
      <c r="JG445"/>
      <c r="JH445"/>
      <c r="JI445"/>
      <c r="JJ445"/>
      <c r="JK445"/>
      <c r="JL445"/>
      <c r="JM445"/>
      <c r="JN445"/>
      <c r="JO445"/>
      <c r="JP445"/>
      <c r="JQ445"/>
      <c r="JR445"/>
      <c r="JS445"/>
      <c r="JT445"/>
      <c r="JU445"/>
      <c r="JV445"/>
      <c r="JW445"/>
      <c r="JX445"/>
      <c r="JY445"/>
      <c r="JZ445"/>
      <c r="KA445"/>
      <c r="KB445"/>
      <c r="KC445"/>
      <c r="KD445"/>
      <c r="KE445"/>
      <c r="KF445"/>
      <c r="KG445"/>
      <c r="KH445"/>
      <c r="KI445"/>
      <c r="KJ445"/>
      <c r="KK445"/>
      <c r="KL445"/>
      <c r="KM445"/>
      <c r="KN445"/>
      <c r="KO445"/>
      <c r="KP445"/>
      <c r="KQ445"/>
      <c r="KR445"/>
      <c r="KS445"/>
    </row>
    <row r="446" spans="2:305" hidden="1" x14ac:dyDescent="0.25">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c r="DF446"/>
      <c r="DG446"/>
      <c r="DH446"/>
      <c r="DI446"/>
      <c r="DJ446"/>
      <c r="DK446"/>
      <c r="DL446"/>
      <c r="DM446"/>
      <c r="DN446"/>
      <c r="DO446"/>
      <c r="DP446"/>
      <c r="DQ446"/>
      <c r="DR446"/>
      <c r="DS446"/>
      <c r="DT446"/>
      <c r="DU446"/>
      <c r="DV446"/>
      <c r="DW446"/>
      <c r="DX446"/>
      <c r="DY446"/>
      <c r="DZ446"/>
      <c r="EA446"/>
      <c r="EB446"/>
      <c r="EC446"/>
      <c r="ED446"/>
      <c r="EE446"/>
      <c r="EF446"/>
      <c r="EG446"/>
      <c r="EH446"/>
      <c r="EI446"/>
      <c r="EJ446"/>
      <c r="EK446"/>
      <c r="EL446"/>
      <c r="EM446"/>
      <c r="EN446"/>
      <c r="EO446"/>
      <c r="EP446"/>
      <c r="EQ446"/>
      <c r="ER446"/>
      <c r="ES446"/>
      <c r="ET446"/>
      <c r="EU446"/>
      <c r="EV446"/>
      <c r="EW446"/>
      <c r="EX446"/>
      <c r="EY446"/>
      <c r="EZ446"/>
      <c r="FA446"/>
      <c r="FB446"/>
      <c r="FC446"/>
      <c r="FD446"/>
      <c r="FE446"/>
      <c r="FF446"/>
      <c r="FG446"/>
      <c r="FH446"/>
      <c r="FI446"/>
      <c r="FJ446"/>
      <c r="FK446"/>
      <c r="FL446"/>
      <c r="FM446"/>
      <c r="FN446"/>
      <c r="FO446"/>
      <c r="FP446"/>
      <c r="FQ446"/>
      <c r="FR446"/>
      <c r="FS446"/>
      <c r="FT446"/>
      <c r="FU446"/>
      <c r="FV446"/>
      <c r="FW446"/>
      <c r="FX446"/>
      <c r="FY446"/>
      <c r="FZ446"/>
      <c r="GA446"/>
      <c r="GB446"/>
      <c r="GC446"/>
      <c r="GD446"/>
      <c r="GE446"/>
      <c r="GF446"/>
      <c r="GG446"/>
      <c r="GH446"/>
      <c r="GI446"/>
      <c r="GJ446"/>
      <c r="GK446"/>
      <c r="GL446"/>
      <c r="GM446"/>
      <c r="GN446"/>
      <c r="GO446"/>
      <c r="GP446"/>
      <c r="GQ446"/>
      <c r="GR446"/>
      <c r="GS446"/>
      <c r="GT446"/>
      <c r="GU446"/>
      <c r="GV446"/>
      <c r="GW446"/>
      <c r="GX446"/>
      <c r="GY446"/>
      <c r="GZ446"/>
      <c r="HA446"/>
      <c r="HB446"/>
      <c r="HC446"/>
      <c r="HD446"/>
      <c r="HE446"/>
      <c r="HF446"/>
      <c r="HG446"/>
      <c r="HH446"/>
      <c r="HI446"/>
      <c r="HJ446"/>
      <c r="HK446"/>
      <c r="HL446"/>
      <c r="HM446"/>
      <c r="HN446"/>
      <c r="HO446"/>
      <c r="HP446"/>
      <c r="HQ446"/>
      <c r="HR446"/>
      <c r="HS446"/>
      <c r="HT446"/>
      <c r="HU446"/>
      <c r="HV446"/>
      <c r="HW446"/>
      <c r="HX446"/>
      <c r="HY446"/>
      <c r="HZ446"/>
      <c r="IA446"/>
      <c r="IB446"/>
      <c r="IC446"/>
      <c r="ID446"/>
      <c r="IE446"/>
      <c r="IF446"/>
      <c r="IG446"/>
      <c r="IH446"/>
      <c r="II446"/>
      <c r="IJ446"/>
      <c r="IK446"/>
      <c r="IL446"/>
      <c r="IM446"/>
      <c r="IN446"/>
      <c r="IO446"/>
      <c r="IP446"/>
      <c r="IQ446"/>
      <c r="IR446"/>
      <c r="IS446"/>
      <c r="IT446"/>
      <c r="IU446"/>
      <c r="IV446"/>
      <c r="IW446"/>
      <c r="IX446"/>
      <c r="IY446"/>
      <c r="IZ446"/>
      <c r="JA446"/>
      <c r="JB446"/>
      <c r="JC446"/>
      <c r="JD446"/>
      <c r="JE446"/>
      <c r="JF446"/>
      <c r="JG446"/>
      <c r="JH446"/>
      <c r="JI446"/>
      <c r="JJ446"/>
      <c r="JK446"/>
      <c r="JL446"/>
      <c r="JM446"/>
      <c r="JN446"/>
      <c r="JO446"/>
      <c r="JP446"/>
      <c r="JQ446"/>
      <c r="JR446"/>
      <c r="JS446"/>
      <c r="JT446"/>
      <c r="JU446"/>
      <c r="JV446"/>
      <c r="JW446"/>
      <c r="JX446"/>
      <c r="JY446"/>
      <c r="JZ446"/>
      <c r="KA446"/>
      <c r="KB446"/>
      <c r="KC446"/>
      <c r="KD446"/>
      <c r="KE446"/>
      <c r="KF446"/>
      <c r="KG446"/>
      <c r="KH446"/>
      <c r="KI446"/>
      <c r="KJ446"/>
      <c r="KK446"/>
      <c r="KL446"/>
      <c r="KM446"/>
      <c r="KN446"/>
      <c r="KO446"/>
      <c r="KP446"/>
      <c r="KQ446"/>
      <c r="KR446"/>
      <c r="KS446"/>
    </row>
    <row r="447" spans="2:305" hidden="1" x14ac:dyDescent="0.25">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c r="DF447"/>
      <c r="DG447"/>
      <c r="DH447"/>
      <c r="DI447"/>
      <c r="DJ447"/>
      <c r="DK447"/>
      <c r="DL447"/>
      <c r="DM447"/>
      <c r="DN447"/>
      <c r="DO447"/>
      <c r="DP447"/>
      <c r="DQ447"/>
      <c r="DR447"/>
      <c r="DS447"/>
      <c r="DT447"/>
      <c r="DU447"/>
      <c r="DV447"/>
      <c r="DW447"/>
      <c r="DX447"/>
      <c r="DY447"/>
      <c r="DZ447"/>
      <c r="EA447"/>
      <c r="EB447"/>
      <c r="EC447"/>
      <c r="ED447"/>
      <c r="EE447"/>
      <c r="EF447"/>
      <c r="EG447"/>
      <c r="EH447"/>
      <c r="EI447"/>
      <c r="EJ447"/>
      <c r="EK447"/>
      <c r="EL447"/>
      <c r="EM447"/>
      <c r="EN447"/>
      <c r="EO447"/>
      <c r="EP447"/>
      <c r="EQ447"/>
      <c r="ER447"/>
      <c r="ES447"/>
      <c r="ET447"/>
      <c r="EU447"/>
      <c r="EV447"/>
      <c r="EW447"/>
      <c r="EX447"/>
      <c r="EY447"/>
      <c r="EZ447"/>
      <c r="FA447"/>
      <c r="FB447"/>
      <c r="FC447"/>
      <c r="FD447"/>
      <c r="FE447"/>
      <c r="FF447"/>
      <c r="FG447"/>
      <c r="FH447"/>
      <c r="FI447"/>
      <c r="FJ447"/>
      <c r="FK447"/>
      <c r="FL447"/>
      <c r="FM447"/>
      <c r="FN447"/>
      <c r="FO447"/>
      <c r="FP447"/>
      <c r="FQ447"/>
      <c r="FR447"/>
      <c r="FS447"/>
      <c r="FT447"/>
      <c r="FU447"/>
      <c r="FV447"/>
      <c r="FW447"/>
      <c r="FX447"/>
      <c r="FY447"/>
      <c r="FZ447"/>
      <c r="GA447"/>
      <c r="GB447"/>
      <c r="GC447"/>
      <c r="GD447"/>
      <c r="GE447"/>
      <c r="GF447"/>
      <c r="GG447"/>
      <c r="GH447"/>
      <c r="GI447"/>
      <c r="GJ447"/>
      <c r="GK447"/>
      <c r="GL447"/>
      <c r="GM447"/>
      <c r="GN447"/>
      <c r="GO447"/>
      <c r="GP447"/>
      <c r="GQ447"/>
      <c r="GR447"/>
      <c r="GS447"/>
      <c r="GT447"/>
      <c r="GU447"/>
      <c r="GV447"/>
      <c r="GW447"/>
      <c r="GX447"/>
      <c r="GY447"/>
      <c r="GZ447"/>
      <c r="HA447"/>
      <c r="HB447"/>
      <c r="HC447"/>
      <c r="HD447"/>
      <c r="HE447"/>
      <c r="HF447"/>
      <c r="HG447"/>
      <c r="HH447"/>
      <c r="HI447"/>
      <c r="HJ447"/>
      <c r="HK447"/>
      <c r="HL447"/>
      <c r="HM447"/>
      <c r="HN447"/>
      <c r="HO447"/>
      <c r="HP447"/>
      <c r="HQ447"/>
      <c r="HR447"/>
      <c r="HS447"/>
      <c r="HT447"/>
      <c r="HU447"/>
      <c r="HV447"/>
      <c r="HW447"/>
      <c r="HX447"/>
      <c r="HY447"/>
      <c r="HZ447"/>
      <c r="IA447"/>
      <c r="IB447"/>
      <c r="IC447"/>
      <c r="ID447"/>
      <c r="IE447"/>
      <c r="IF447"/>
      <c r="IG447"/>
      <c r="IH447"/>
      <c r="II447"/>
      <c r="IJ447"/>
      <c r="IK447"/>
      <c r="IL447"/>
      <c r="IM447"/>
      <c r="IN447"/>
      <c r="IO447"/>
      <c r="IP447"/>
      <c r="IQ447"/>
      <c r="IR447"/>
      <c r="IS447"/>
      <c r="IT447"/>
      <c r="IU447"/>
      <c r="IV447"/>
      <c r="IW447"/>
      <c r="IX447"/>
      <c r="IY447"/>
      <c r="IZ447"/>
      <c r="JA447"/>
      <c r="JB447"/>
      <c r="JC447"/>
      <c r="JD447"/>
      <c r="JE447"/>
      <c r="JF447"/>
      <c r="JG447"/>
      <c r="JH447"/>
      <c r="JI447"/>
      <c r="JJ447"/>
      <c r="JK447"/>
      <c r="JL447"/>
      <c r="JM447"/>
      <c r="JN447"/>
      <c r="JO447"/>
      <c r="JP447"/>
      <c r="JQ447"/>
      <c r="JR447"/>
      <c r="JS447"/>
      <c r="JT447"/>
      <c r="JU447"/>
      <c r="JV447"/>
      <c r="JW447"/>
      <c r="JX447"/>
      <c r="JY447"/>
      <c r="JZ447"/>
      <c r="KA447"/>
      <c r="KB447"/>
      <c r="KC447"/>
      <c r="KD447"/>
      <c r="KE447"/>
      <c r="KF447"/>
      <c r="KG447"/>
      <c r="KH447"/>
      <c r="KI447"/>
      <c r="KJ447"/>
      <c r="KK447"/>
      <c r="KL447"/>
      <c r="KM447"/>
      <c r="KN447"/>
      <c r="KO447"/>
      <c r="KP447"/>
      <c r="KQ447"/>
      <c r="KR447"/>
      <c r="KS447"/>
    </row>
    <row r="448" spans="2:305" hidden="1" x14ac:dyDescent="0.25">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c r="DF448"/>
      <c r="DG448"/>
      <c r="DH448"/>
      <c r="DI448"/>
      <c r="DJ448"/>
      <c r="DK448"/>
      <c r="DL448"/>
      <c r="DM448"/>
      <c r="DN448"/>
      <c r="DO448"/>
      <c r="DP448"/>
      <c r="DQ448"/>
      <c r="DR448"/>
      <c r="DS448"/>
      <c r="DT448"/>
      <c r="DU448"/>
      <c r="DV448"/>
      <c r="DW448"/>
      <c r="DX448"/>
      <c r="DY448"/>
      <c r="DZ448"/>
      <c r="EA448"/>
      <c r="EB448"/>
      <c r="EC448"/>
      <c r="ED448"/>
      <c r="EE448"/>
      <c r="EF448"/>
      <c r="EG448"/>
      <c r="EH448"/>
      <c r="EI448"/>
      <c r="EJ448"/>
      <c r="EK448"/>
      <c r="EL448"/>
      <c r="EM448"/>
      <c r="EN448"/>
      <c r="EO448"/>
      <c r="EP448"/>
      <c r="EQ448"/>
      <c r="ER448"/>
      <c r="ES448"/>
      <c r="ET448"/>
      <c r="EU448"/>
      <c r="EV448"/>
      <c r="EW448"/>
      <c r="EX448"/>
      <c r="EY448"/>
      <c r="EZ448"/>
      <c r="FA448"/>
      <c r="FB448"/>
      <c r="FC448"/>
      <c r="FD448"/>
      <c r="FE448"/>
      <c r="FF448"/>
      <c r="FG448"/>
      <c r="FH448"/>
      <c r="FI448"/>
      <c r="FJ448"/>
      <c r="FK448"/>
      <c r="FL448"/>
      <c r="FM448"/>
      <c r="FN448"/>
      <c r="FO448"/>
      <c r="FP448"/>
      <c r="FQ448"/>
      <c r="FR448"/>
      <c r="FS448"/>
      <c r="FT448"/>
      <c r="FU448"/>
      <c r="FV448"/>
      <c r="FW448"/>
      <c r="FX448"/>
      <c r="FY448"/>
      <c r="FZ448"/>
      <c r="GA448"/>
      <c r="GB448"/>
      <c r="GC448"/>
      <c r="GD448"/>
      <c r="GE448"/>
      <c r="GF448"/>
      <c r="GG448"/>
      <c r="GH448"/>
      <c r="GI448"/>
      <c r="GJ448"/>
      <c r="GK448"/>
      <c r="GL448"/>
      <c r="GM448"/>
      <c r="GN448"/>
      <c r="GO448"/>
      <c r="GP448"/>
      <c r="GQ448"/>
      <c r="GR448"/>
      <c r="GS448"/>
      <c r="GT448"/>
      <c r="GU448"/>
      <c r="GV448"/>
      <c r="GW448"/>
      <c r="GX448"/>
      <c r="GY448"/>
      <c r="GZ448"/>
      <c r="HA448"/>
      <c r="HB448"/>
      <c r="HC448"/>
      <c r="HD448"/>
      <c r="HE448"/>
      <c r="HF448"/>
      <c r="HG448"/>
      <c r="HH448"/>
      <c r="HI448"/>
      <c r="HJ448"/>
      <c r="HK448"/>
      <c r="HL448"/>
      <c r="HM448"/>
      <c r="HN448"/>
      <c r="HO448"/>
      <c r="HP448"/>
      <c r="HQ448"/>
      <c r="HR448"/>
      <c r="HS448"/>
      <c r="HT448"/>
      <c r="HU448"/>
      <c r="HV448"/>
      <c r="HW448"/>
      <c r="HX448"/>
      <c r="HY448"/>
      <c r="HZ448"/>
      <c r="IA448"/>
      <c r="IB448"/>
      <c r="IC448"/>
      <c r="ID448"/>
      <c r="IE448"/>
      <c r="IF448"/>
      <c r="IG448"/>
      <c r="IH448"/>
      <c r="II448"/>
      <c r="IJ448"/>
      <c r="IK448"/>
      <c r="IL448"/>
      <c r="IM448"/>
      <c r="IN448"/>
      <c r="IO448"/>
      <c r="IP448"/>
      <c r="IQ448"/>
      <c r="IR448"/>
      <c r="IS448"/>
      <c r="IT448"/>
      <c r="IU448"/>
      <c r="IV448"/>
      <c r="IW448"/>
      <c r="IX448"/>
      <c r="IY448"/>
      <c r="IZ448"/>
      <c r="JA448"/>
      <c r="JB448"/>
      <c r="JC448"/>
      <c r="JD448"/>
      <c r="JE448"/>
      <c r="JF448"/>
      <c r="JG448"/>
      <c r="JH448"/>
      <c r="JI448"/>
      <c r="JJ448"/>
      <c r="JK448"/>
      <c r="JL448"/>
      <c r="JM448"/>
      <c r="JN448"/>
      <c r="JO448"/>
      <c r="JP448"/>
      <c r="JQ448"/>
      <c r="JR448"/>
      <c r="JS448"/>
      <c r="JT448"/>
      <c r="JU448"/>
      <c r="JV448"/>
      <c r="JW448"/>
      <c r="JX448"/>
      <c r="JY448"/>
      <c r="JZ448"/>
      <c r="KA448"/>
      <c r="KB448"/>
      <c r="KC448"/>
      <c r="KD448"/>
      <c r="KE448"/>
      <c r="KF448"/>
      <c r="KG448"/>
      <c r="KH448"/>
      <c r="KI448"/>
      <c r="KJ448"/>
      <c r="KK448"/>
      <c r="KL448"/>
      <c r="KM448"/>
      <c r="KN448"/>
      <c r="KO448"/>
      <c r="KP448"/>
      <c r="KQ448"/>
      <c r="KR448"/>
      <c r="KS448"/>
    </row>
    <row r="449" spans="2:305" hidden="1" x14ac:dyDescent="0.25">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c r="DF449"/>
      <c r="DG449"/>
      <c r="DH449"/>
      <c r="DI449"/>
      <c r="DJ449"/>
      <c r="DK449"/>
      <c r="DL449"/>
      <c r="DM449"/>
      <c r="DN449"/>
      <c r="DO449"/>
      <c r="DP449"/>
      <c r="DQ449"/>
      <c r="DR449"/>
      <c r="DS449"/>
      <c r="DT449"/>
      <c r="DU449"/>
      <c r="DV449"/>
      <c r="DW449"/>
      <c r="DX449"/>
      <c r="DY449"/>
      <c r="DZ449"/>
      <c r="EA449"/>
      <c r="EB449"/>
      <c r="EC449"/>
      <c r="ED449"/>
      <c r="EE449"/>
      <c r="EF449"/>
      <c r="EG449"/>
      <c r="EH449"/>
      <c r="EI449"/>
      <c r="EJ449"/>
      <c r="EK449"/>
      <c r="EL449"/>
      <c r="EM449"/>
      <c r="EN449"/>
      <c r="EO449"/>
      <c r="EP449"/>
      <c r="EQ449"/>
      <c r="ER449"/>
      <c r="ES449"/>
      <c r="ET449"/>
      <c r="EU449"/>
      <c r="EV449"/>
      <c r="EW449"/>
      <c r="EX449"/>
      <c r="EY449"/>
      <c r="EZ449"/>
      <c r="FA449"/>
      <c r="FB449"/>
      <c r="FC449"/>
      <c r="FD449"/>
      <c r="FE449"/>
      <c r="FF449"/>
      <c r="FG449"/>
      <c r="FH449"/>
      <c r="FI449"/>
      <c r="FJ449"/>
      <c r="FK449"/>
      <c r="FL449"/>
      <c r="FM449"/>
      <c r="FN449"/>
      <c r="FO449"/>
      <c r="FP449"/>
      <c r="FQ449"/>
      <c r="FR449"/>
      <c r="FS449"/>
      <c r="FT449"/>
      <c r="FU449"/>
      <c r="FV449"/>
      <c r="FW449"/>
      <c r="FX449"/>
      <c r="FY449"/>
      <c r="FZ449"/>
      <c r="GA449"/>
      <c r="GB449"/>
      <c r="GC449"/>
      <c r="GD449"/>
      <c r="GE449"/>
      <c r="GF449"/>
      <c r="GG449"/>
      <c r="GH449"/>
      <c r="GI449"/>
      <c r="GJ449"/>
      <c r="GK449"/>
      <c r="GL449"/>
      <c r="GM449"/>
      <c r="GN449"/>
      <c r="GO449"/>
      <c r="GP449"/>
      <c r="GQ449"/>
      <c r="GR449"/>
      <c r="GS449"/>
      <c r="GT449"/>
      <c r="GU449"/>
      <c r="GV449"/>
      <c r="GW449"/>
      <c r="GX449"/>
      <c r="GY449"/>
      <c r="GZ449"/>
      <c r="HA449"/>
      <c r="HB449"/>
      <c r="HC449"/>
      <c r="HD449"/>
      <c r="HE449"/>
      <c r="HF449"/>
      <c r="HG449"/>
      <c r="HH449"/>
      <c r="HI449"/>
      <c r="HJ449"/>
      <c r="HK449"/>
      <c r="HL449"/>
      <c r="HM449"/>
      <c r="HN449"/>
      <c r="HO449"/>
      <c r="HP449"/>
      <c r="HQ449"/>
      <c r="HR449"/>
      <c r="HS449"/>
      <c r="HT449"/>
      <c r="HU449"/>
      <c r="HV449"/>
      <c r="HW449"/>
      <c r="HX449"/>
      <c r="HY449"/>
      <c r="HZ449"/>
      <c r="IA449"/>
      <c r="IB449"/>
      <c r="IC449"/>
      <c r="ID449"/>
      <c r="IE449"/>
      <c r="IF449"/>
      <c r="IG449"/>
      <c r="IH449"/>
      <c r="II449"/>
      <c r="IJ449"/>
      <c r="IK449"/>
      <c r="IL449"/>
      <c r="IM449"/>
      <c r="IN449"/>
      <c r="IO449"/>
      <c r="IP449"/>
      <c r="IQ449"/>
      <c r="IR449"/>
      <c r="IS449"/>
      <c r="IT449"/>
      <c r="IU449"/>
      <c r="IV449"/>
      <c r="IW449"/>
      <c r="IX449"/>
      <c r="IY449"/>
      <c r="IZ449"/>
      <c r="JA449"/>
      <c r="JB449"/>
      <c r="JC449"/>
      <c r="JD449"/>
      <c r="JE449"/>
      <c r="JF449"/>
      <c r="JG449"/>
      <c r="JH449"/>
      <c r="JI449"/>
      <c r="JJ449"/>
      <c r="JK449"/>
      <c r="JL449"/>
      <c r="JM449"/>
      <c r="JN449"/>
      <c r="JO449"/>
      <c r="JP449"/>
      <c r="JQ449"/>
      <c r="JR449"/>
      <c r="JS449"/>
      <c r="JT449"/>
      <c r="JU449"/>
      <c r="JV449"/>
      <c r="JW449"/>
      <c r="JX449"/>
      <c r="JY449"/>
      <c r="JZ449"/>
      <c r="KA449"/>
      <c r="KB449"/>
      <c r="KC449"/>
      <c r="KD449"/>
      <c r="KE449"/>
      <c r="KF449"/>
      <c r="KG449"/>
      <c r="KH449"/>
      <c r="KI449"/>
      <c r="KJ449"/>
      <c r="KK449"/>
      <c r="KL449"/>
      <c r="KM449"/>
      <c r="KN449"/>
      <c r="KO449"/>
      <c r="KP449"/>
      <c r="KQ449"/>
      <c r="KR449"/>
      <c r="KS449"/>
    </row>
    <row r="450" spans="2:305" hidden="1" x14ac:dyDescent="0.25">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c r="DF450"/>
      <c r="DG450"/>
      <c r="DH450"/>
      <c r="DI450"/>
      <c r="DJ450"/>
      <c r="DK450"/>
      <c r="DL450"/>
      <c r="DM450"/>
      <c r="DN450"/>
      <c r="DO450"/>
      <c r="DP450"/>
      <c r="DQ450"/>
      <c r="DR450"/>
      <c r="DS450"/>
      <c r="DT450"/>
      <c r="DU450"/>
      <c r="DV450"/>
      <c r="DW450"/>
      <c r="DX450"/>
      <c r="DY450"/>
      <c r="DZ450"/>
      <c r="EA450"/>
      <c r="EB450"/>
      <c r="EC450"/>
      <c r="ED450"/>
      <c r="EE450"/>
      <c r="EF450"/>
      <c r="EG450"/>
      <c r="EH450"/>
      <c r="EI450"/>
      <c r="EJ450"/>
      <c r="EK450"/>
      <c r="EL450"/>
      <c r="EM450"/>
      <c r="EN450"/>
      <c r="EO450"/>
      <c r="EP450"/>
      <c r="EQ450"/>
      <c r="ER450"/>
      <c r="ES450"/>
      <c r="ET450"/>
      <c r="EU450"/>
      <c r="EV450"/>
      <c r="EW450"/>
      <c r="EX450"/>
      <c r="EY450"/>
      <c r="EZ450"/>
      <c r="FA450"/>
      <c r="FB450"/>
      <c r="FC450"/>
      <c r="FD450"/>
      <c r="FE450"/>
      <c r="FF450"/>
      <c r="FG450"/>
      <c r="FH450"/>
      <c r="FI450"/>
      <c r="FJ450"/>
      <c r="FK450"/>
      <c r="FL450"/>
      <c r="FM450"/>
      <c r="FN450"/>
      <c r="FO450"/>
      <c r="FP450"/>
      <c r="FQ450"/>
      <c r="FR450"/>
      <c r="FS450"/>
      <c r="FT450"/>
      <c r="FU450"/>
      <c r="FV450"/>
      <c r="FW450"/>
      <c r="FX450"/>
      <c r="FY450"/>
      <c r="FZ450"/>
      <c r="GA450"/>
      <c r="GB450"/>
      <c r="GC450"/>
      <c r="GD450"/>
      <c r="GE450"/>
      <c r="GF450"/>
      <c r="GG450"/>
      <c r="GH450"/>
      <c r="GI450"/>
      <c r="GJ450"/>
      <c r="GK450"/>
      <c r="GL450"/>
      <c r="GM450"/>
      <c r="GN450"/>
      <c r="GO450"/>
      <c r="GP450"/>
      <c r="GQ450"/>
      <c r="GR450"/>
      <c r="GS450"/>
      <c r="GT450"/>
      <c r="GU450"/>
      <c r="GV450"/>
      <c r="GW450"/>
      <c r="GX450"/>
      <c r="GY450"/>
      <c r="GZ450"/>
      <c r="HA450"/>
      <c r="HB450"/>
      <c r="HC450"/>
      <c r="HD450"/>
      <c r="HE450"/>
      <c r="HF450"/>
      <c r="HG450"/>
      <c r="HH450"/>
      <c r="HI450"/>
      <c r="HJ450"/>
      <c r="HK450"/>
      <c r="HL450"/>
      <c r="HM450"/>
      <c r="HN450"/>
      <c r="HO450"/>
      <c r="HP450"/>
      <c r="HQ450"/>
      <c r="HR450"/>
      <c r="HS450"/>
      <c r="HT450"/>
      <c r="HU450"/>
      <c r="HV450"/>
      <c r="HW450"/>
      <c r="HX450"/>
      <c r="HY450"/>
      <c r="HZ450"/>
      <c r="IA450"/>
      <c r="IB450"/>
      <c r="IC450"/>
      <c r="ID450"/>
      <c r="IE450"/>
      <c r="IF450"/>
      <c r="IG450"/>
      <c r="IH450"/>
      <c r="II450"/>
      <c r="IJ450"/>
      <c r="IK450"/>
      <c r="IL450"/>
      <c r="IM450"/>
      <c r="IN450"/>
      <c r="IO450"/>
      <c r="IP450"/>
      <c r="IQ450"/>
      <c r="IR450"/>
      <c r="IS450"/>
      <c r="IT450"/>
      <c r="IU450"/>
      <c r="IV450"/>
      <c r="IW450"/>
      <c r="IX450"/>
      <c r="IY450"/>
      <c r="IZ450"/>
      <c r="JA450"/>
      <c r="JB450"/>
      <c r="JC450"/>
      <c r="JD450"/>
      <c r="JE450"/>
      <c r="JF450"/>
      <c r="JG450"/>
      <c r="JH450"/>
      <c r="JI450"/>
      <c r="JJ450"/>
      <c r="JK450"/>
      <c r="JL450"/>
      <c r="JM450"/>
      <c r="JN450"/>
      <c r="JO450"/>
      <c r="JP450"/>
      <c r="JQ450"/>
      <c r="JR450"/>
      <c r="JS450"/>
      <c r="JT450"/>
      <c r="JU450"/>
      <c r="JV450"/>
      <c r="JW450"/>
      <c r="JX450"/>
      <c r="JY450"/>
      <c r="JZ450"/>
      <c r="KA450"/>
      <c r="KB450"/>
      <c r="KC450"/>
      <c r="KD450"/>
      <c r="KE450"/>
      <c r="KF450"/>
      <c r="KG450"/>
      <c r="KH450"/>
      <c r="KI450"/>
      <c r="KJ450"/>
      <c r="KK450"/>
      <c r="KL450"/>
      <c r="KM450"/>
      <c r="KN450"/>
      <c r="KO450"/>
      <c r="KP450"/>
      <c r="KQ450"/>
      <c r="KR450"/>
      <c r="KS450"/>
    </row>
    <row r="451" spans="2:305" hidden="1" x14ac:dyDescent="0.25">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c r="DF451"/>
      <c r="DG451"/>
      <c r="DH451"/>
      <c r="DI451"/>
      <c r="DJ451"/>
      <c r="DK451"/>
      <c r="DL451"/>
      <c r="DM451"/>
      <c r="DN451"/>
      <c r="DO451"/>
      <c r="DP451"/>
      <c r="DQ451"/>
      <c r="DR451"/>
      <c r="DS451"/>
      <c r="DT451"/>
      <c r="DU451"/>
      <c r="DV451"/>
      <c r="DW451"/>
      <c r="DX451"/>
      <c r="DY451"/>
      <c r="DZ451"/>
      <c r="EA451"/>
      <c r="EB451"/>
      <c r="EC451"/>
      <c r="ED451"/>
      <c r="EE451"/>
      <c r="EF451"/>
      <c r="EG451"/>
      <c r="EH451"/>
      <c r="EI451"/>
      <c r="EJ451"/>
      <c r="EK451"/>
      <c r="EL451"/>
      <c r="EM451"/>
      <c r="EN451"/>
      <c r="EO451"/>
      <c r="EP451"/>
      <c r="EQ451"/>
      <c r="ER451"/>
      <c r="ES451"/>
      <c r="ET451"/>
      <c r="EU451"/>
      <c r="EV451"/>
      <c r="EW451"/>
      <c r="EX451"/>
      <c r="EY451"/>
      <c r="EZ451"/>
      <c r="FA451"/>
      <c r="FB451"/>
      <c r="FC451"/>
      <c r="FD451"/>
      <c r="FE451"/>
      <c r="FF451"/>
      <c r="FG451"/>
      <c r="FH451"/>
      <c r="FI451"/>
      <c r="FJ451"/>
      <c r="FK451"/>
      <c r="FL451"/>
      <c r="FM451"/>
      <c r="FN451"/>
      <c r="FO451"/>
      <c r="FP451"/>
      <c r="FQ451"/>
      <c r="FR451"/>
      <c r="FS451"/>
      <c r="FT451"/>
      <c r="FU451"/>
      <c r="FV451"/>
      <c r="FW451"/>
      <c r="FX451"/>
      <c r="FY451"/>
      <c r="FZ451"/>
      <c r="GA451"/>
      <c r="GB451"/>
      <c r="GC451"/>
      <c r="GD451"/>
      <c r="GE451"/>
      <c r="GF451"/>
      <c r="GG451"/>
      <c r="GH451"/>
      <c r="GI451"/>
      <c r="GJ451"/>
      <c r="GK451"/>
      <c r="GL451"/>
      <c r="GM451"/>
      <c r="GN451"/>
      <c r="GO451"/>
      <c r="GP451"/>
      <c r="GQ451"/>
      <c r="GR451"/>
      <c r="GS451"/>
      <c r="GT451"/>
      <c r="GU451"/>
      <c r="GV451"/>
      <c r="GW451"/>
      <c r="GX451"/>
      <c r="GY451"/>
      <c r="GZ451"/>
      <c r="HA451"/>
      <c r="HB451"/>
      <c r="HC451"/>
      <c r="HD451"/>
      <c r="HE451"/>
      <c r="HF451"/>
      <c r="HG451"/>
      <c r="HH451"/>
      <c r="HI451"/>
      <c r="HJ451"/>
      <c r="HK451"/>
      <c r="HL451"/>
      <c r="HM451"/>
      <c r="HN451"/>
      <c r="HO451"/>
      <c r="HP451"/>
      <c r="HQ451"/>
      <c r="HR451"/>
      <c r="HS451"/>
      <c r="HT451"/>
      <c r="HU451"/>
      <c r="HV451"/>
      <c r="HW451"/>
      <c r="HX451"/>
      <c r="HY451"/>
      <c r="HZ451"/>
      <c r="IA451"/>
      <c r="IB451"/>
      <c r="IC451"/>
      <c r="ID451"/>
      <c r="IE451"/>
      <c r="IF451"/>
      <c r="IG451"/>
      <c r="IH451"/>
      <c r="II451"/>
      <c r="IJ451"/>
      <c r="IK451"/>
      <c r="IL451"/>
      <c r="IM451"/>
      <c r="IN451"/>
      <c r="IO451"/>
      <c r="IP451"/>
      <c r="IQ451"/>
      <c r="IR451"/>
      <c r="IS451"/>
      <c r="IT451"/>
      <c r="IU451"/>
      <c r="IV451"/>
      <c r="IW451"/>
      <c r="IX451"/>
      <c r="IY451"/>
      <c r="IZ451"/>
      <c r="JA451"/>
      <c r="JB451"/>
      <c r="JC451"/>
      <c r="JD451"/>
      <c r="JE451"/>
      <c r="JF451"/>
      <c r="JG451"/>
      <c r="JH451"/>
      <c r="JI451"/>
      <c r="JJ451"/>
      <c r="JK451"/>
      <c r="JL451"/>
      <c r="JM451"/>
      <c r="JN451"/>
      <c r="JO451"/>
      <c r="JP451"/>
      <c r="JQ451"/>
      <c r="JR451"/>
      <c r="JS451"/>
      <c r="JT451"/>
      <c r="JU451"/>
      <c r="JV451"/>
      <c r="JW451"/>
      <c r="JX451"/>
      <c r="JY451"/>
      <c r="JZ451"/>
      <c r="KA451"/>
      <c r="KB451"/>
      <c r="KC451"/>
      <c r="KD451"/>
      <c r="KE451"/>
      <c r="KF451"/>
      <c r="KG451"/>
      <c r="KH451"/>
      <c r="KI451"/>
      <c r="KJ451"/>
      <c r="KK451"/>
      <c r="KL451"/>
      <c r="KM451"/>
      <c r="KN451"/>
      <c r="KO451"/>
      <c r="KP451"/>
      <c r="KQ451"/>
      <c r="KR451"/>
      <c r="KS451"/>
    </row>
    <row r="452" spans="2:305" hidden="1" x14ac:dyDescent="0.25">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c r="DF452"/>
      <c r="DG452"/>
      <c r="DH452"/>
      <c r="DI452"/>
      <c r="DJ452"/>
      <c r="DK452"/>
      <c r="DL452"/>
      <c r="DM452"/>
      <c r="DN452"/>
      <c r="DO452"/>
      <c r="DP452"/>
      <c r="DQ452"/>
      <c r="DR452"/>
      <c r="DS452"/>
      <c r="DT452"/>
      <c r="DU452"/>
      <c r="DV452"/>
      <c r="DW452"/>
      <c r="DX452"/>
      <c r="DY452"/>
      <c r="DZ452"/>
      <c r="EA452"/>
      <c r="EB452"/>
      <c r="EC452"/>
      <c r="ED452"/>
      <c r="EE452"/>
      <c r="EF452"/>
      <c r="EG452"/>
      <c r="EH452"/>
      <c r="EI452"/>
      <c r="EJ452"/>
      <c r="EK452"/>
      <c r="EL452"/>
      <c r="EM452"/>
      <c r="EN452"/>
      <c r="EO452"/>
      <c r="EP452"/>
      <c r="EQ452"/>
      <c r="ER452"/>
      <c r="ES452"/>
      <c r="ET452"/>
      <c r="EU452"/>
      <c r="EV452"/>
      <c r="EW452"/>
      <c r="EX452"/>
      <c r="EY452"/>
      <c r="EZ452"/>
      <c r="FA452"/>
      <c r="FB452"/>
      <c r="FC452"/>
      <c r="FD452"/>
      <c r="FE452"/>
      <c r="FF452"/>
      <c r="FG452"/>
      <c r="FH452"/>
      <c r="FI452"/>
      <c r="FJ452"/>
      <c r="FK452"/>
      <c r="FL452"/>
      <c r="FM452"/>
      <c r="FN452"/>
      <c r="FO452"/>
      <c r="FP452"/>
      <c r="FQ452"/>
      <c r="FR452"/>
      <c r="FS452"/>
      <c r="FT452"/>
      <c r="FU452"/>
      <c r="FV452"/>
      <c r="FW452"/>
      <c r="FX452"/>
      <c r="FY452"/>
      <c r="FZ452"/>
      <c r="GA452"/>
      <c r="GB452"/>
      <c r="GC452"/>
      <c r="GD452"/>
      <c r="GE452"/>
      <c r="GF452"/>
      <c r="GG452"/>
      <c r="GH452"/>
      <c r="GI452"/>
      <c r="GJ452"/>
      <c r="GK452"/>
      <c r="GL452"/>
      <c r="GM452"/>
      <c r="GN452"/>
      <c r="GO452"/>
      <c r="GP452"/>
      <c r="GQ452"/>
      <c r="GR452"/>
      <c r="GS452"/>
      <c r="GT452"/>
      <c r="GU452"/>
      <c r="GV452"/>
      <c r="GW452"/>
      <c r="GX452"/>
      <c r="GY452"/>
      <c r="GZ452"/>
      <c r="HA452"/>
      <c r="HB452"/>
      <c r="HC452"/>
      <c r="HD452"/>
      <c r="HE452"/>
      <c r="HF452"/>
      <c r="HG452"/>
      <c r="HH452"/>
      <c r="HI452"/>
      <c r="HJ452"/>
      <c r="HK452"/>
      <c r="HL452"/>
      <c r="HM452"/>
      <c r="HN452"/>
      <c r="HO452"/>
      <c r="HP452"/>
      <c r="HQ452"/>
      <c r="HR452"/>
      <c r="HS452"/>
      <c r="HT452"/>
      <c r="HU452"/>
      <c r="HV452"/>
      <c r="HW452"/>
      <c r="HX452"/>
      <c r="HY452"/>
      <c r="HZ452"/>
      <c r="IA452"/>
      <c r="IB452"/>
      <c r="IC452"/>
      <c r="ID452"/>
      <c r="IE452"/>
      <c r="IF452"/>
      <c r="IG452"/>
      <c r="IH452"/>
      <c r="II452"/>
      <c r="IJ452"/>
      <c r="IK452"/>
      <c r="IL452"/>
      <c r="IM452"/>
      <c r="IN452"/>
      <c r="IO452"/>
      <c r="IP452"/>
      <c r="IQ452"/>
      <c r="IR452"/>
      <c r="IS452"/>
      <c r="IT452"/>
      <c r="IU452"/>
      <c r="IV452"/>
      <c r="IW452"/>
      <c r="IX452"/>
      <c r="IY452"/>
      <c r="IZ452"/>
      <c r="JA452"/>
      <c r="JB452"/>
      <c r="JC452"/>
      <c r="JD452"/>
      <c r="JE452"/>
      <c r="JF452"/>
      <c r="JG452"/>
      <c r="JH452"/>
      <c r="JI452"/>
      <c r="JJ452"/>
      <c r="JK452"/>
      <c r="JL452"/>
      <c r="JM452"/>
      <c r="JN452"/>
      <c r="JO452"/>
      <c r="JP452"/>
      <c r="JQ452"/>
      <c r="JR452"/>
      <c r="JS452"/>
      <c r="JT452"/>
      <c r="JU452"/>
      <c r="JV452"/>
      <c r="JW452"/>
      <c r="JX452"/>
      <c r="JY452"/>
      <c r="JZ452"/>
      <c r="KA452"/>
      <c r="KB452"/>
      <c r="KC452"/>
      <c r="KD452"/>
      <c r="KE452"/>
      <c r="KF452"/>
      <c r="KG452"/>
      <c r="KH452"/>
      <c r="KI452"/>
      <c r="KJ452"/>
      <c r="KK452"/>
      <c r="KL452"/>
      <c r="KM452"/>
      <c r="KN452"/>
      <c r="KO452"/>
      <c r="KP452"/>
      <c r="KQ452"/>
      <c r="KR452"/>
      <c r="KS452"/>
    </row>
    <row r="453" spans="2:305" hidden="1" x14ac:dyDescent="0.25">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c r="DF453"/>
      <c r="DG453"/>
      <c r="DH453"/>
      <c r="DI453"/>
      <c r="DJ453"/>
      <c r="DK453"/>
      <c r="DL453"/>
      <c r="DM453"/>
      <c r="DN453"/>
      <c r="DO453"/>
      <c r="DP453"/>
      <c r="DQ453"/>
      <c r="DR453"/>
      <c r="DS453"/>
      <c r="DT453"/>
      <c r="DU453"/>
      <c r="DV453"/>
      <c r="DW453"/>
      <c r="DX453"/>
      <c r="DY453"/>
      <c r="DZ453"/>
      <c r="EA453"/>
      <c r="EB453"/>
      <c r="EC453"/>
      <c r="ED453"/>
      <c r="EE453"/>
      <c r="EF453"/>
      <c r="EG453"/>
      <c r="EH453"/>
      <c r="EI453"/>
      <c r="EJ453"/>
      <c r="EK453"/>
      <c r="EL453"/>
      <c r="EM453"/>
      <c r="EN453"/>
      <c r="EO453"/>
      <c r="EP453"/>
      <c r="EQ453"/>
      <c r="ER453"/>
      <c r="ES453"/>
      <c r="ET453"/>
      <c r="EU453"/>
      <c r="EV453"/>
      <c r="EW453"/>
      <c r="EX453"/>
      <c r="EY453"/>
      <c r="EZ453"/>
      <c r="FA453"/>
      <c r="FB453"/>
      <c r="FC453"/>
      <c r="FD453"/>
      <c r="FE453"/>
      <c r="FF453"/>
      <c r="FG453"/>
      <c r="FH453"/>
      <c r="FI453"/>
      <c r="FJ453"/>
      <c r="FK453"/>
      <c r="FL453"/>
      <c r="FM453"/>
      <c r="FN453"/>
      <c r="FO453"/>
      <c r="FP453"/>
      <c r="FQ453"/>
      <c r="FR453"/>
      <c r="FS453"/>
      <c r="FT453"/>
      <c r="FU453"/>
      <c r="FV453"/>
      <c r="FW453"/>
      <c r="FX453"/>
      <c r="FY453"/>
      <c r="FZ453"/>
      <c r="GA453"/>
      <c r="GB453"/>
      <c r="GC453"/>
      <c r="GD453"/>
      <c r="GE453"/>
      <c r="GF453"/>
      <c r="GG453"/>
      <c r="GH453"/>
      <c r="GI453"/>
      <c r="GJ453"/>
      <c r="GK453"/>
      <c r="GL453"/>
      <c r="GM453"/>
      <c r="GN453"/>
      <c r="GO453"/>
      <c r="GP453"/>
      <c r="GQ453"/>
      <c r="GR453"/>
      <c r="GS453"/>
      <c r="GT453"/>
      <c r="GU453"/>
      <c r="GV453"/>
      <c r="GW453"/>
      <c r="GX453"/>
      <c r="GY453"/>
      <c r="GZ453"/>
      <c r="HA453"/>
      <c r="HB453"/>
      <c r="HC453"/>
      <c r="HD453"/>
      <c r="HE453"/>
      <c r="HF453"/>
      <c r="HG453"/>
      <c r="HH453"/>
      <c r="HI453"/>
      <c r="HJ453"/>
      <c r="HK453"/>
      <c r="HL453"/>
      <c r="HM453"/>
      <c r="HN453"/>
      <c r="HO453"/>
      <c r="HP453"/>
      <c r="HQ453"/>
      <c r="HR453"/>
      <c r="HS453"/>
      <c r="HT453"/>
      <c r="HU453"/>
      <c r="HV453"/>
      <c r="HW453"/>
      <c r="HX453"/>
      <c r="HY453"/>
      <c r="HZ453"/>
      <c r="IA453"/>
      <c r="IB453"/>
      <c r="IC453"/>
      <c r="ID453"/>
      <c r="IE453"/>
      <c r="IF453"/>
      <c r="IG453"/>
      <c r="IH453"/>
      <c r="II453"/>
      <c r="IJ453"/>
      <c r="IK453"/>
      <c r="IL453"/>
      <c r="IM453"/>
      <c r="IN453"/>
      <c r="IO453"/>
      <c r="IP453"/>
      <c r="IQ453"/>
      <c r="IR453"/>
      <c r="IS453"/>
      <c r="IT453"/>
      <c r="IU453"/>
      <c r="IV453"/>
      <c r="IW453"/>
      <c r="IX453"/>
      <c r="IY453"/>
      <c r="IZ453"/>
      <c r="JA453"/>
      <c r="JB453"/>
      <c r="JC453"/>
      <c r="JD453"/>
      <c r="JE453"/>
      <c r="JF453"/>
      <c r="JG453"/>
      <c r="JH453"/>
      <c r="JI453"/>
      <c r="JJ453"/>
      <c r="JK453"/>
      <c r="JL453"/>
      <c r="JM453"/>
      <c r="JN453"/>
      <c r="JO453"/>
      <c r="JP453"/>
      <c r="JQ453"/>
      <c r="JR453"/>
      <c r="JS453"/>
      <c r="JT453"/>
      <c r="JU453"/>
      <c r="JV453"/>
      <c r="JW453"/>
      <c r="JX453"/>
      <c r="JY453"/>
      <c r="JZ453"/>
      <c r="KA453"/>
      <c r="KB453"/>
      <c r="KC453"/>
      <c r="KD453"/>
      <c r="KE453"/>
      <c r="KF453"/>
      <c r="KG453"/>
      <c r="KH453"/>
      <c r="KI453"/>
      <c r="KJ453"/>
      <c r="KK453"/>
      <c r="KL453"/>
      <c r="KM453"/>
      <c r="KN453"/>
      <c r="KO453"/>
      <c r="KP453"/>
      <c r="KQ453"/>
      <c r="KR453"/>
      <c r="KS453"/>
    </row>
    <row r="454" spans="2:305" hidden="1" x14ac:dyDescent="0.25">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c r="DF454"/>
      <c r="DG454"/>
      <c r="DH454"/>
      <c r="DI454"/>
      <c r="DJ454"/>
      <c r="DK454"/>
      <c r="DL454"/>
      <c r="DM454"/>
      <c r="DN454"/>
      <c r="DO454"/>
      <c r="DP454"/>
      <c r="DQ454"/>
      <c r="DR454"/>
      <c r="DS454"/>
      <c r="DT454"/>
      <c r="DU454"/>
      <c r="DV454"/>
      <c r="DW454"/>
      <c r="DX454"/>
      <c r="DY454"/>
      <c r="DZ454"/>
      <c r="EA454"/>
      <c r="EB454"/>
      <c r="EC454"/>
      <c r="ED454"/>
      <c r="EE454"/>
      <c r="EF454"/>
      <c r="EG454"/>
      <c r="EH454"/>
      <c r="EI454"/>
      <c r="EJ454"/>
      <c r="EK454"/>
      <c r="EL454"/>
      <c r="EM454"/>
      <c r="EN454"/>
      <c r="EO454"/>
      <c r="EP454"/>
      <c r="EQ454"/>
      <c r="ER454"/>
      <c r="ES454"/>
      <c r="ET454"/>
      <c r="EU454"/>
      <c r="EV454"/>
      <c r="EW454"/>
      <c r="EX454"/>
      <c r="EY454"/>
      <c r="EZ454"/>
      <c r="FA454"/>
      <c r="FB454"/>
      <c r="FC454"/>
      <c r="FD454"/>
      <c r="FE454"/>
      <c r="FF454"/>
      <c r="FG454"/>
      <c r="FH454"/>
      <c r="FI454"/>
      <c r="FJ454"/>
      <c r="FK454"/>
      <c r="FL454"/>
      <c r="FM454"/>
      <c r="FN454"/>
      <c r="FO454"/>
      <c r="FP454"/>
      <c r="FQ454"/>
      <c r="FR454"/>
      <c r="FS454"/>
      <c r="FT454"/>
      <c r="FU454"/>
      <c r="FV454"/>
      <c r="FW454"/>
      <c r="FX454"/>
      <c r="FY454"/>
      <c r="FZ454"/>
      <c r="GA454"/>
      <c r="GB454"/>
      <c r="GC454"/>
      <c r="GD454"/>
      <c r="GE454"/>
      <c r="GF454"/>
      <c r="GG454"/>
      <c r="GH454"/>
      <c r="GI454"/>
      <c r="GJ454"/>
      <c r="GK454"/>
      <c r="GL454"/>
      <c r="GM454"/>
      <c r="GN454"/>
      <c r="GO454"/>
      <c r="GP454"/>
      <c r="GQ454"/>
      <c r="GR454"/>
      <c r="GS454"/>
      <c r="GT454"/>
      <c r="GU454"/>
      <c r="GV454"/>
      <c r="GW454"/>
      <c r="GX454"/>
      <c r="GY454"/>
      <c r="GZ454"/>
      <c r="HA454"/>
      <c r="HB454"/>
      <c r="HC454"/>
      <c r="HD454"/>
      <c r="HE454"/>
      <c r="HF454"/>
      <c r="HG454"/>
      <c r="HH454"/>
      <c r="HI454"/>
      <c r="HJ454"/>
      <c r="HK454"/>
      <c r="HL454"/>
      <c r="HM454"/>
      <c r="HN454"/>
      <c r="HO454"/>
      <c r="HP454"/>
      <c r="HQ454"/>
      <c r="HR454"/>
      <c r="HS454"/>
      <c r="HT454"/>
      <c r="HU454"/>
      <c r="HV454"/>
      <c r="HW454"/>
      <c r="HX454"/>
      <c r="HY454"/>
      <c r="HZ454"/>
      <c r="IA454"/>
      <c r="IB454"/>
      <c r="IC454"/>
      <c r="ID454"/>
      <c r="IE454"/>
      <c r="IF454"/>
      <c r="IG454"/>
      <c r="IH454"/>
      <c r="II454"/>
      <c r="IJ454"/>
      <c r="IK454"/>
      <c r="IL454"/>
      <c r="IM454"/>
      <c r="IN454"/>
      <c r="IO454"/>
      <c r="IP454"/>
      <c r="IQ454"/>
      <c r="IR454"/>
      <c r="IS454"/>
      <c r="IT454"/>
      <c r="IU454"/>
      <c r="IV454"/>
      <c r="IW454"/>
      <c r="IX454"/>
      <c r="IY454"/>
      <c r="IZ454"/>
      <c r="JA454"/>
      <c r="JB454"/>
      <c r="JC454"/>
      <c r="JD454"/>
      <c r="JE454"/>
      <c r="JF454"/>
      <c r="JG454"/>
      <c r="JH454"/>
      <c r="JI454"/>
      <c r="JJ454"/>
      <c r="JK454"/>
      <c r="JL454"/>
      <c r="JM454"/>
      <c r="JN454"/>
      <c r="JO454"/>
      <c r="JP454"/>
      <c r="JQ454"/>
      <c r="JR454"/>
      <c r="JS454"/>
      <c r="JT454"/>
      <c r="JU454"/>
      <c r="JV454"/>
      <c r="JW454"/>
      <c r="JX454"/>
      <c r="JY454"/>
      <c r="JZ454"/>
      <c r="KA454"/>
      <c r="KB454"/>
      <c r="KC454"/>
      <c r="KD454"/>
      <c r="KE454"/>
      <c r="KF454"/>
      <c r="KG454"/>
      <c r="KH454"/>
      <c r="KI454"/>
      <c r="KJ454"/>
      <c r="KK454"/>
      <c r="KL454"/>
      <c r="KM454"/>
      <c r="KN454"/>
      <c r="KO454"/>
      <c r="KP454"/>
      <c r="KQ454"/>
      <c r="KR454"/>
      <c r="KS454"/>
    </row>
    <row r="455" spans="2:305" hidden="1" x14ac:dyDescent="0.2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c r="DF455"/>
      <c r="DG455"/>
      <c r="DH455"/>
      <c r="DI455"/>
      <c r="DJ455"/>
      <c r="DK455"/>
      <c r="DL455"/>
      <c r="DM455"/>
      <c r="DN455"/>
      <c r="DO455"/>
      <c r="DP455"/>
      <c r="DQ455"/>
      <c r="DR455"/>
      <c r="DS455"/>
      <c r="DT455"/>
      <c r="DU455"/>
      <c r="DV455"/>
      <c r="DW455"/>
      <c r="DX455"/>
      <c r="DY455"/>
      <c r="DZ455"/>
      <c r="EA455"/>
      <c r="EB455"/>
      <c r="EC455"/>
      <c r="ED455"/>
      <c r="EE455"/>
      <c r="EF455"/>
      <c r="EG455"/>
      <c r="EH455"/>
      <c r="EI455"/>
      <c r="EJ455"/>
      <c r="EK455"/>
      <c r="EL455"/>
      <c r="EM455"/>
      <c r="EN455"/>
      <c r="EO455"/>
      <c r="EP455"/>
      <c r="EQ455"/>
      <c r="ER455"/>
      <c r="ES455"/>
      <c r="ET455"/>
      <c r="EU455"/>
      <c r="EV455"/>
      <c r="EW455"/>
      <c r="EX455"/>
      <c r="EY455"/>
      <c r="EZ455"/>
      <c r="FA455"/>
      <c r="FB455"/>
      <c r="FC455"/>
      <c r="FD455"/>
      <c r="FE455"/>
      <c r="FF455"/>
      <c r="FG455"/>
      <c r="FH455"/>
      <c r="FI455"/>
      <c r="FJ455"/>
      <c r="FK455"/>
      <c r="FL455"/>
      <c r="FM455"/>
      <c r="FN455"/>
      <c r="FO455"/>
      <c r="FP455"/>
      <c r="FQ455"/>
      <c r="FR455"/>
      <c r="FS455"/>
      <c r="FT455"/>
      <c r="FU455"/>
      <c r="FV455"/>
      <c r="FW455"/>
      <c r="FX455"/>
      <c r="FY455"/>
      <c r="FZ455"/>
      <c r="GA455"/>
      <c r="GB455"/>
      <c r="GC455"/>
      <c r="GD455"/>
      <c r="GE455"/>
      <c r="GF455"/>
      <c r="GG455"/>
      <c r="GH455"/>
      <c r="GI455"/>
      <c r="GJ455"/>
      <c r="GK455"/>
      <c r="GL455"/>
      <c r="GM455"/>
      <c r="GN455"/>
      <c r="GO455"/>
      <c r="GP455"/>
      <c r="GQ455"/>
      <c r="GR455"/>
      <c r="GS455"/>
      <c r="GT455"/>
      <c r="GU455"/>
      <c r="GV455"/>
      <c r="GW455"/>
      <c r="GX455"/>
      <c r="GY455"/>
      <c r="GZ455"/>
      <c r="HA455"/>
      <c r="HB455"/>
      <c r="HC455"/>
      <c r="HD455"/>
      <c r="HE455"/>
      <c r="HF455"/>
      <c r="HG455"/>
      <c r="HH455"/>
      <c r="HI455"/>
      <c r="HJ455"/>
      <c r="HK455"/>
      <c r="HL455"/>
      <c r="HM455"/>
      <c r="HN455"/>
      <c r="HO455"/>
      <c r="HP455"/>
      <c r="HQ455"/>
      <c r="HR455"/>
      <c r="HS455"/>
      <c r="HT455"/>
      <c r="HU455"/>
      <c r="HV455"/>
      <c r="HW455"/>
      <c r="HX455"/>
      <c r="HY455"/>
      <c r="HZ455"/>
      <c r="IA455"/>
      <c r="IB455"/>
      <c r="IC455"/>
      <c r="ID455"/>
      <c r="IE455"/>
      <c r="IF455"/>
      <c r="IG455"/>
      <c r="IH455"/>
      <c r="II455"/>
      <c r="IJ455"/>
      <c r="IK455"/>
      <c r="IL455"/>
      <c r="IM455"/>
      <c r="IN455"/>
      <c r="IO455"/>
      <c r="IP455"/>
      <c r="IQ455"/>
      <c r="IR455"/>
      <c r="IS455"/>
      <c r="IT455"/>
      <c r="IU455"/>
      <c r="IV455"/>
      <c r="IW455"/>
      <c r="IX455"/>
      <c r="IY455"/>
      <c r="IZ455"/>
      <c r="JA455"/>
      <c r="JB455"/>
      <c r="JC455"/>
      <c r="JD455"/>
      <c r="JE455"/>
      <c r="JF455"/>
      <c r="JG455"/>
      <c r="JH455"/>
      <c r="JI455"/>
      <c r="JJ455"/>
      <c r="JK455"/>
      <c r="JL455"/>
      <c r="JM455"/>
      <c r="JN455"/>
      <c r="JO455"/>
      <c r="JP455"/>
      <c r="JQ455"/>
      <c r="JR455"/>
      <c r="JS455"/>
      <c r="JT455"/>
      <c r="JU455"/>
      <c r="JV455"/>
      <c r="JW455"/>
      <c r="JX455"/>
      <c r="JY455"/>
      <c r="JZ455"/>
      <c r="KA455"/>
      <c r="KB455"/>
      <c r="KC455"/>
      <c r="KD455"/>
      <c r="KE455"/>
      <c r="KF455"/>
      <c r="KG455"/>
      <c r="KH455"/>
      <c r="KI455"/>
      <c r="KJ455"/>
      <c r="KK455"/>
      <c r="KL455"/>
      <c r="KM455"/>
      <c r="KN455"/>
      <c r="KO455"/>
      <c r="KP455"/>
      <c r="KQ455"/>
      <c r="KR455"/>
      <c r="KS455"/>
    </row>
    <row r="456" spans="2:305" hidden="1" x14ac:dyDescent="0.25">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c r="DF456"/>
      <c r="DG456"/>
      <c r="DH456"/>
      <c r="DI456"/>
      <c r="DJ456"/>
      <c r="DK456"/>
      <c r="DL456"/>
      <c r="DM456"/>
      <c r="DN456"/>
      <c r="DO456"/>
      <c r="DP456"/>
      <c r="DQ456"/>
      <c r="DR456"/>
      <c r="DS456"/>
      <c r="DT456"/>
      <c r="DU456"/>
      <c r="DV456"/>
      <c r="DW456"/>
      <c r="DX456"/>
      <c r="DY456"/>
      <c r="DZ456"/>
      <c r="EA456"/>
      <c r="EB456"/>
      <c r="EC456"/>
      <c r="ED456"/>
      <c r="EE456"/>
      <c r="EF456"/>
      <c r="EG456"/>
      <c r="EH456"/>
      <c r="EI456"/>
      <c r="EJ456"/>
      <c r="EK456"/>
      <c r="EL456"/>
      <c r="EM456"/>
      <c r="EN456"/>
      <c r="EO456"/>
      <c r="EP456"/>
      <c r="EQ456"/>
      <c r="ER456"/>
      <c r="ES456"/>
      <c r="ET456"/>
      <c r="EU456"/>
      <c r="EV456"/>
      <c r="EW456"/>
      <c r="EX456"/>
      <c r="EY456"/>
      <c r="EZ456"/>
      <c r="FA456"/>
      <c r="FB456"/>
      <c r="FC456"/>
      <c r="FD456"/>
      <c r="FE456"/>
      <c r="FF456"/>
      <c r="FG456"/>
      <c r="FH456"/>
      <c r="FI456"/>
      <c r="FJ456"/>
      <c r="FK456"/>
      <c r="FL456"/>
      <c r="FM456"/>
      <c r="FN456"/>
      <c r="FO456"/>
      <c r="FP456"/>
      <c r="FQ456"/>
      <c r="FR456"/>
      <c r="FS456"/>
      <c r="FT456"/>
      <c r="FU456"/>
      <c r="FV456"/>
      <c r="FW456"/>
      <c r="FX456"/>
      <c r="FY456"/>
      <c r="FZ456"/>
      <c r="GA456"/>
      <c r="GB456"/>
      <c r="GC456"/>
      <c r="GD456"/>
      <c r="GE456"/>
      <c r="GF456"/>
      <c r="GG456"/>
      <c r="GH456"/>
      <c r="GI456"/>
      <c r="GJ456"/>
      <c r="GK456"/>
      <c r="GL456"/>
      <c r="GM456"/>
      <c r="GN456"/>
      <c r="GO456"/>
      <c r="GP456"/>
      <c r="GQ456"/>
      <c r="GR456"/>
      <c r="GS456"/>
      <c r="GT456"/>
      <c r="GU456"/>
      <c r="GV456"/>
      <c r="GW456"/>
      <c r="GX456"/>
      <c r="GY456"/>
      <c r="GZ456"/>
      <c r="HA456"/>
      <c r="HB456"/>
      <c r="HC456"/>
      <c r="HD456"/>
      <c r="HE456"/>
      <c r="HF456"/>
      <c r="HG456"/>
      <c r="HH456"/>
      <c r="HI456"/>
      <c r="HJ456"/>
      <c r="HK456"/>
      <c r="HL456"/>
      <c r="HM456"/>
      <c r="HN456"/>
      <c r="HO456"/>
      <c r="HP456"/>
      <c r="HQ456"/>
      <c r="HR456"/>
      <c r="HS456"/>
      <c r="HT456"/>
      <c r="HU456"/>
      <c r="HV456"/>
      <c r="HW456"/>
      <c r="HX456"/>
      <c r="HY456"/>
      <c r="HZ456"/>
      <c r="IA456"/>
      <c r="IB456"/>
      <c r="IC456"/>
      <c r="ID456"/>
      <c r="IE456"/>
      <c r="IF456"/>
      <c r="IG456"/>
      <c r="IH456"/>
      <c r="II456"/>
      <c r="IJ456"/>
      <c r="IK456"/>
      <c r="IL456"/>
      <c r="IM456"/>
      <c r="IN456"/>
      <c r="IO456"/>
      <c r="IP456"/>
      <c r="IQ456"/>
      <c r="IR456"/>
      <c r="IS456"/>
      <c r="IT456"/>
      <c r="IU456"/>
      <c r="IV456"/>
      <c r="IW456"/>
      <c r="IX456"/>
      <c r="IY456"/>
      <c r="IZ456"/>
      <c r="JA456"/>
      <c r="JB456"/>
      <c r="JC456"/>
      <c r="JD456"/>
      <c r="JE456"/>
      <c r="JF456"/>
      <c r="JG456"/>
      <c r="JH456"/>
      <c r="JI456"/>
      <c r="JJ456"/>
      <c r="JK456"/>
      <c r="JL456"/>
      <c r="JM456"/>
      <c r="JN456"/>
      <c r="JO456"/>
      <c r="JP456"/>
      <c r="JQ456"/>
      <c r="JR456"/>
      <c r="JS456"/>
      <c r="JT456"/>
      <c r="JU456"/>
      <c r="JV456"/>
      <c r="JW456"/>
      <c r="JX456"/>
      <c r="JY456"/>
      <c r="JZ456"/>
      <c r="KA456"/>
      <c r="KB456"/>
      <c r="KC456"/>
      <c r="KD456"/>
      <c r="KE456"/>
      <c r="KF456"/>
      <c r="KG456"/>
      <c r="KH456"/>
      <c r="KI456"/>
      <c r="KJ456"/>
      <c r="KK456"/>
      <c r="KL456"/>
      <c r="KM456"/>
      <c r="KN456"/>
      <c r="KO456"/>
      <c r="KP456"/>
      <c r="KQ456"/>
      <c r="KR456"/>
      <c r="KS456"/>
    </row>
    <row r="457" spans="2:305" hidden="1" x14ac:dyDescent="0.25">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c r="DF457"/>
      <c r="DG457"/>
      <c r="DH457"/>
      <c r="DI457"/>
      <c r="DJ457"/>
      <c r="DK457"/>
      <c r="DL457"/>
      <c r="DM457"/>
      <c r="DN457"/>
      <c r="DO457"/>
      <c r="DP457"/>
      <c r="DQ457"/>
      <c r="DR457"/>
      <c r="DS457"/>
      <c r="DT457"/>
      <c r="DU457"/>
      <c r="DV457"/>
      <c r="DW457"/>
      <c r="DX457"/>
      <c r="DY457"/>
      <c r="DZ457"/>
      <c r="EA457"/>
      <c r="EB457"/>
      <c r="EC457"/>
      <c r="ED457"/>
      <c r="EE457"/>
      <c r="EF457"/>
      <c r="EG457"/>
      <c r="EH457"/>
      <c r="EI457"/>
      <c r="EJ457"/>
      <c r="EK457"/>
      <c r="EL457"/>
      <c r="EM457"/>
      <c r="EN457"/>
      <c r="EO457"/>
      <c r="EP457"/>
      <c r="EQ457"/>
      <c r="ER457"/>
      <c r="ES457"/>
      <c r="ET457"/>
      <c r="EU457"/>
      <c r="EV457"/>
      <c r="EW457"/>
      <c r="EX457"/>
      <c r="EY457"/>
      <c r="EZ457"/>
      <c r="FA457"/>
      <c r="FB457"/>
      <c r="FC457"/>
      <c r="FD457"/>
      <c r="FE457"/>
      <c r="FF457"/>
      <c r="FG457"/>
      <c r="FH457"/>
      <c r="FI457"/>
      <c r="FJ457"/>
      <c r="FK457"/>
      <c r="FL457"/>
      <c r="FM457"/>
      <c r="FN457"/>
      <c r="FO457"/>
      <c r="FP457"/>
      <c r="FQ457"/>
      <c r="FR457"/>
      <c r="FS457"/>
      <c r="FT457"/>
      <c r="FU457"/>
      <c r="FV457"/>
      <c r="FW457"/>
      <c r="FX457"/>
      <c r="FY457"/>
      <c r="FZ457"/>
      <c r="GA457"/>
      <c r="GB457"/>
      <c r="GC457"/>
      <c r="GD457"/>
      <c r="GE457"/>
      <c r="GF457"/>
      <c r="GG457"/>
      <c r="GH457"/>
      <c r="GI457"/>
      <c r="GJ457"/>
      <c r="GK457"/>
      <c r="GL457"/>
      <c r="GM457"/>
      <c r="GN457"/>
      <c r="GO457"/>
      <c r="GP457"/>
      <c r="GQ457"/>
      <c r="GR457"/>
      <c r="GS457"/>
      <c r="GT457"/>
      <c r="GU457"/>
      <c r="GV457"/>
      <c r="GW457"/>
      <c r="GX457"/>
      <c r="GY457"/>
      <c r="GZ457"/>
      <c r="HA457"/>
      <c r="HB457"/>
      <c r="HC457"/>
      <c r="HD457"/>
      <c r="HE457"/>
      <c r="HF457"/>
      <c r="HG457"/>
      <c r="HH457"/>
      <c r="HI457"/>
      <c r="HJ457"/>
      <c r="HK457"/>
      <c r="HL457"/>
      <c r="HM457"/>
      <c r="HN457"/>
      <c r="HO457"/>
      <c r="HP457"/>
      <c r="HQ457"/>
      <c r="HR457"/>
      <c r="HS457"/>
      <c r="HT457"/>
      <c r="HU457"/>
      <c r="HV457"/>
      <c r="HW457"/>
      <c r="HX457"/>
      <c r="HY457"/>
      <c r="HZ457"/>
      <c r="IA457"/>
      <c r="IB457"/>
      <c r="IC457"/>
      <c r="ID457"/>
      <c r="IE457"/>
      <c r="IF457"/>
      <c r="IG457"/>
      <c r="IH457"/>
      <c r="II457"/>
      <c r="IJ457"/>
      <c r="IK457"/>
      <c r="IL457"/>
      <c r="IM457"/>
      <c r="IN457"/>
      <c r="IO457"/>
      <c r="IP457"/>
      <c r="IQ457"/>
      <c r="IR457"/>
      <c r="IS457"/>
      <c r="IT457"/>
      <c r="IU457"/>
      <c r="IV457"/>
      <c r="IW457"/>
      <c r="IX457"/>
      <c r="IY457"/>
      <c r="IZ457"/>
      <c r="JA457"/>
      <c r="JB457"/>
      <c r="JC457"/>
      <c r="JD457"/>
      <c r="JE457"/>
      <c r="JF457"/>
      <c r="JG457"/>
      <c r="JH457"/>
      <c r="JI457"/>
      <c r="JJ457"/>
      <c r="JK457"/>
      <c r="JL457"/>
      <c r="JM457"/>
      <c r="JN457"/>
      <c r="JO457"/>
      <c r="JP457"/>
      <c r="JQ457"/>
      <c r="JR457"/>
      <c r="JS457"/>
      <c r="JT457"/>
      <c r="JU457"/>
      <c r="JV457"/>
      <c r="JW457"/>
      <c r="JX457"/>
      <c r="JY457"/>
      <c r="JZ457"/>
      <c r="KA457"/>
      <c r="KB457"/>
      <c r="KC457"/>
      <c r="KD457"/>
      <c r="KE457"/>
      <c r="KF457"/>
      <c r="KG457"/>
      <c r="KH457"/>
      <c r="KI457"/>
      <c r="KJ457"/>
      <c r="KK457"/>
      <c r="KL457"/>
      <c r="KM457"/>
      <c r="KN457"/>
      <c r="KO457"/>
      <c r="KP457"/>
      <c r="KQ457"/>
      <c r="KR457"/>
      <c r="KS457"/>
    </row>
    <row r="458" spans="2:305" hidden="1" x14ac:dyDescent="0.25">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c r="DF458"/>
      <c r="DG458"/>
      <c r="DH458"/>
      <c r="DI458"/>
      <c r="DJ458"/>
      <c r="DK458"/>
      <c r="DL458"/>
      <c r="DM458"/>
      <c r="DN458"/>
      <c r="DO458"/>
      <c r="DP458"/>
      <c r="DQ458"/>
      <c r="DR458"/>
      <c r="DS458"/>
      <c r="DT458"/>
      <c r="DU458"/>
      <c r="DV458"/>
      <c r="DW458"/>
      <c r="DX458"/>
      <c r="DY458"/>
      <c r="DZ458"/>
      <c r="EA458"/>
      <c r="EB458"/>
      <c r="EC458"/>
      <c r="ED458"/>
      <c r="EE458"/>
      <c r="EF458"/>
      <c r="EG458"/>
      <c r="EH458"/>
      <c r="EI458"/>
      <c r="EJ458"/>
      <c r="EK458"/>
      <c r="EL458"/>
      <c r="EM458"/>
      <c r="EN458"/>
      <c r="EO458"/>
      <c r="EP458"/>
      <c r="EQ458"/>
      <c r="ER458"/>
      <c r="ES458"/>
      <c r="ET458"/>
      <c r="EU458"/>
      <c r="EV458"/>
      <c r="EW458"/>
      <c r="EX458"/>
      <c r="EY458"/>
      <c r="EZ458"/>
      <c r="FA458"/>
      <c r="FB458"/>
      <c r="FC458"/>
      <c r="FD458"/>
      <c r="FE458"/>
      <c r="FF458"/>
      <c r="FG458"/>
      <c r="FH458"/>
      <c r="FI458"/>
      <c r="FJ458"/>
      <c r="FK458"/>
      <c r="FL458"/>
      <c r="FM458"/>
      <c r="FN458"/>
      <c r="FO458"/>
      <c r="FP458"/>
      <c r="FQ458"/>
      <c r="FR458"/>
      <c r="FS458"/>
      <c r="FT458"/>
      <c r="FU458"/>
      <c r="FV458"/>
      <c r="FW458"/>
      <c r="FX458"/>
      <c r="FY458"/>
      <c r="FZ458"/>
      <c r="GA458"/>
      <c r="GB458"/>
      <c r="GC458"/>
      <c r="GD458"/>
      <c r="GE458"/>
      <c r="GF458"/>
      <c r="GG458"/>
      <c r="GH458"/>
      <c r="GI458"/>
      <c r="GJ458"/>
      <c r="GK458"/>
      <c r="GL458"/>
      <c r="GM458"/>
      <c r="GN458"/>
      <c r="GO458"/>
      <c r="GP458"/>
      <c r="GQ458"/>
      <c r="GR458"/>
      <c r="GS458"/>
      <c r="GT458"/>
      <c r="GU458"/>
      <c r="GV458"/>
      <c r="GW458"/>
      <c r="GX458"/>
      <c r="GY458"/>
      <c r="GZ458"/>
      <c r="HA458"/>
      <c r="HB458"/>
      <c r="HC458"/>
      <c r="HD458"/>
      <c r="HE458"/>
      <c r="HF458"/>
      <c r="HG458"/>
      <c r="HH458"/>
      <c r="HI458"/>
      <c r="HJ458"/>
      <c r="HK458"/>
      <c r="HL458"/>
      <c r="HM458"/>
      <c r="HN458"/>
      <c r="HO458"/>
      <c r="HP458"/>
      <c r="HQ458"/>
      <c r="HR458"/>
      <c r="HS458"/>
      <c r="HT458"/>
      <c r="HU458"/>
      <c r="HV458"/>
      <c r="HW458"/>
      <c r="HX458"/>
      <c r="HY458"/>
      <c r="HZ458"/>
      <c r="IA458"/>
      <c r="IB458"/>
      <c r="IC458"/>
      <c r="ID458"/>
      <c r="IE458"/>
      <c r="IF458"/>
      <c r="IG458"/>
      <c r="IH458"/>
      <c r="II458"/>
      <c r="IJ458"/>
      <c r="IK458"/>
      <c r="IL458"/>
      <c r="IM458"/>
      <c r="IN458"/>
      <c r="IO458"/>
      <c r="IP458"/>
      <c r="IQ458"/>
      <c r="IR458"/>
      <c r="IS458"/>
      <c r="IT458"/>
      <c r="IU458"/>
      <c r="IV458"/>
      <c r="IW458"/>
      <c r="IX458"/>
      <c r="IY458"/>
      <c r="IZ458"/>
      <c r="JA458"/>
      <c r="JB458"/>
      <c r="JC458"/>
      <c r="JD458"/>
      <c r="JE458"/>
      <c r="JF458"/>
      <c r="JG458"/>
      <c r="JH458"/>
      <c r="JI458"/>
      <c r="JJ458"/>
      <c r="JK458"/>
      <c r="JL458"/>
      <c r="JM458"/>
      <c r="JN458"/>
      <c r="JO458"/>
      <c r="JP458"/>
      <c r="JQ458"/>
      <c r="JR458"/>
      <c r="JS458"/>
      <c r="JT458"/>
      <c r="JU458"/>
      <c r="JV458"/>
      <c r="JW458"/>
      <c r="JX458"/>
      <c r="JY458"/>
      <c r="JZ458"/>
      <c r="KA458"/>
      <c r="KB458"/>
      <c r="KC458"/>
      <c r="KD458"/>
      <c r="KE458"/>
      <c r="KF458"/>
      <c r="KG458"/>
      <c r="KH458"/>
      <c r="KI458"/>
      <c r="KJ458"/>
      <c r="KK458"/>
      <c r="KL458"/>
      <c r="KM458"/>
      <c r="KN458"/>
      <c r="KO458"/>
      <c r="KP458"/>
      <c r="KQ458"/>
      <c r="KR458"/>
      <c r="KS458"/>
    </row>
    <row r="459" spans="2:305" hidden="1" x14ac:dyDescent="0.25">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c r="DF459"/>
      <c r="DG459"/>
      <c r="DH459"/>
      <c r="DI459"/>
      <c r="DJ459"/>
      <c r="DK459"/>
      <c r="DL459"/>
      <c r="DM459"/>
      <c r="DN459"/>
      <c r="DO459"/>
      <c r="DP459"/>
      <c r="DQ459"/>
      <c r="DR459"/>
      <c r="DS459"/>
      <c r="DT459"/>
      <c r="DU459"/>
      <c r="DV459"/>
      <c r="DW459"/>
      <c r="DX459"/>
      <c r="DY459"/>
      <c r="DZ459"/>
      <c r="EA459"/>
      <c r="EB459"/>
      <c r="EC459"/>
      <c r="ED459"/>
      <c r="EE459"/>
      <c r="EF459"/>
      <c r="EG459"/>
      <c r="EH459"/>
      <c r="EI459"/>
      <c r="EJ459"/>
      <c r="EK459"/>
      <c r="EL459"/>
      <c r="EM459"/>
      <c r="EN459"/>
      <c r="EO459"/>
      <c r="EP459"/>
      <c r="EQ459"/>
      <c r="ER459"/>
      <c r="ES459"/>
      <c r="ET459"/>
      <c r="EU459"/>
      <c r="EV459"/>
      <c r="EW459"/>
      <c r="EX459"/>
      <c r="EY459"/>
      <c r="EZ459"/>
      <c r="FA459"/>
      <c r="FB459"/>
      <c r="FC459"/>
      <c r="FD459"/>
      <c r="FE459"/>
      <c r="FF459"/>
      <c r="FG459"/>
      <c r="FH459"/>
      <c r="FI459"/>
      <c r="FJ459"/>
      <c r="FK459"/>
      <c r="FL459"/>
      <c r="FM459"/>
      <c r="FN459"/>
      <c r="FO459"/>
      <c r="FP459"/>
      <c r="FQ459"/>
      <c r="FR459"/>
      <c r="FS459"/>
      <c r="FT459"/>
      <c r="FU459"/>
      <c r="FV459"/>
      <c r="FW459"/>
      <c r="FX459"/>
      <c r="FY459"/>
      <c r="FZ459"/>
      <c r="GA459"/>
      <c r="GB459"/>
      <c r="GC459"/>
      <c r="GD459"/>
      <c r="GE459"/>
      <c r="GF459"/>
      <c r="GG459"/>
      <c r="GH459"/>
      <c r="GI459"/>
      <c r="GJ459"/>
      <c r="GK459"/>
      <c r="GL459"/>
      <c r="GM459"/>
      <c r="GN459"/>
      <c r="GO459"/>
      <c r="GP459"/>
      <c r="GQ459"/>
      <c r="GR459"/>
      <c r="GS459"/>
      <c r="GT459"/>
      <c r="GU459"/>
      <c r="GV459"/>
      <c r="GW459"/>
      <c r="GX459"/>
      <c r="GY459"/>
      <c r="GZ459"/>
      <c r="HA459"/>
      <c r="HB459"/>
      <c r="HC459"/>
      <c r="HD459"/>
      <c r="HE459"/>
      <c r="HF459"/>
      <c r="HG459"/>
      <c r="HH459"/>
      <c r="HI459"/>
      <c r="HJ459"/>
      <c r="HK459"/>
      <c r="HL459"/>
      <c r="HM459"/>
      <c r="HN459"/>
      <c r="HO459"/>
      <c r="HP459"/>
      <c r="HQ459"/>
      <c r="HR459"/>
      <c r="HS459"/>
      <c r="HT459"/>
      <c r="HU459"/>
      <c r="HV459"/>
      <c r="HW459"/>
      <c r="HX459"/>
      <c r="HY459"/>
      <c r="HZ459"/>
      <c r="IA459"/>
      <c r="IB459"/>
      <c r="IC459"/>
      <c r="ID459"/>
      <c r="IE459"/>
      <c r="IF459"/>
      <c r="IG459"/>
      <c r="IH459"/>
      <c r="II459"/>
      <c r="IJ459"/>
      <c r="IK459"/>
      <c r="IL459"/>
      <c r="IM459"/>
      <c r="IN459"/>
      <c r="IO459"/>
      <c r="IP459"/>
      <c r="IQ459"/>
      <c r="IR459"/>
      <c r="IS459"/>
      <c r="IT459"/>
      <c r="IU459"/>
      <c r="IV459"/>
      <c r="IW459"/>
      <c r="IX459"/>
      <c r="IY459"/>
      <c r="IZ459"/>
      <c r="JA459"/>
      <c r="JB459"/>
      <c r="JC459"/>
      <c r="JD459"/>
      <c r="JE459"/>
      <c r="JF459"/>
      <c r="JG459"/>
      <c r="JH459"/>
      <c r="JI459"/>
      <c r="JJ459"/>
      <c r="JK459"/>
      <c r="JL459"/>
      <c r="JM459"/>
      <c r="JN459"/>
      <c r="JO459"/>
      <c r="JP459"/>
      <c r="JQ459"/>
      <c r="JR459"/>
      <c r="JS459"/>
      <c r="JT459"/>
      <c r="JU459"/>
      <c r="JV459"/>
      <c r="JW459"/>
      <c r="JX459"/>
      <c r="JY459"/>
      <c r="JZ459"/>
      <c r="KA459"/>
      <c r="KB459"/>
      <c r="KC459"/>
      <c r="KD459"/>
      <c r="KE459"/>
      <c r="KF459"/>
      <c r="KG459"/>
      <c r="KH459"/>
      <c r="KI459"/>
      <c r="KJ459"/>
      <c r="KK459"/>
      <c r="KL459"/>
      <c r="KM459"/>
      <c r="KN459"/>
      <c r="KO459"/>
      <c r="KP459"/>
      <c r="KQ459"/>
      <c r="KR459"/>
      <c r="KS459"/>
    </row>
    <row r="460" spans="2:305" hidden="1" x14ac:dyDescent="0.25">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c r="DF460"/>
      <c r="DG460"/>
      <c r="DH460"/>
      <c r="DI460"/>
      <c r="DJ460"/>
      <c r="DK460"/>
      <c r="DL460"/>
      <c r="DM460"/>
      <c r="DN460"/>
      <c r="DO460"/>
      <c r="DP460"/>
      <c r="DQ460"/>
      <c r="DR460"/>
      <c r="DS460"/>
      <c r="DT460"/>
      <c r="DU460"/>
      <c r="DV460"/>
      <c r="DW460"/>
      <c r="DX460"/>
      <c r="DY460"/>
      <c r="DZ460"/>
      <c r="EA460"/>
      <c r="EB460"/>
      <c r="EC460"/>
      <c r="ED460"/>
      <c r="EE460"/>
      <c r="EF460"/>
      <c r="EG460"/>
      <c r="EH460"/>
      <c r="EI460"/>
      <c r="EJ460"/>
      <c r="EK460"/>
      <c r="EL460"/>
      <c r="EM460"/>
      <c r="EN460"/>
      <c r="EO460"/>
      <c r="EP460"/>
      <c r="EQ460"/>
      <c r="ER460"/>
      <c r="ES460"/>
      <c r="ET460"/>
      <c r="EU460"/>
      <c r="EV460"/>
      <c r="EW460"/>
      <c r="EX460"/>
      <c r="EY460"/>
      <c r="EZ460"/>
      <c r="FA460"/>
      <c r="FB460"/>
      <c r="FC460"/>
      <c r="FD460"/>
      <c r="FE460"/>
      <c r="FF460"/>
      <c r="FG460"/>
      <c r="FH460"/>
      <c r="FI460"/>
      <c r="FJ460"/>
      <c r="FK460"/>
      <c r="FL460"/>
      <c r="FM460"/>
      <c r="FN460"/>
      <c r="FO460"/>
      <c r="FP460"/>
      <c r="FQ460"/>
      <c r="FR460"/>
      <c r="FS460"/>
      <c r="FT460"/>
      <c r="FU460"/>
      <c r="FV460"/>
      <c r="FW460"/>
      <c r="FX460"/>
      <c r="FY460"/>
      <c r="FZ460"/>
      <c r="GA460"/>
      <c r="GB460"/>
      <c r="GC460"/>
      <c r="GD460"/>
      <c r="GE460"/>
      <c r="GF460"/>
      <c r="GG460"/>
      <c r="GH460"/>
      <c r="GI460"/>
      <c r="GJ460"/>
      <c r="GK460"/>
      <c r="GL460"/>
      <c r="GM460"/>
      <c r="GN460"/>
      <c r="GO460"/>
      <c r="GP460"/>
      <c r="GQ460"/>
      <c r="GR460"/>
      <c r="GS460"/>
      <c r="GT460"/>
      <c r="GU460"/>
      <c r="GV460"/>
      <c r="GW460"/>
      <c r="GX460"/>
      <c r="GY460"/>
      <c r="GZ460"/>
      <c r="HA460"/>
      <c r="HB460"/>
      <c r="HC460"/>
      <c r="HD460"/>
      <c r="HE460"/>
      <c r="HF460"/>
      <c r="HG460"/>
      <c r="HH460"/>
      <c r="HI460"/>
      <c r="HJ460"/>
      <c r="HK460"/>
      <c r="HL460"/>
      <c r="HM460"/>
      <c r="HN460"/>
      <c r="HO460"/>
      <c r="HP460"/>
      <c r="HQ460"/>
      <c r="HR460"/>
      <c r="HS460"/>
      <c r="HT460"/>
      <c r="HU460"/>
      <c r="HV460"/>
      <c r="HW460"/>
      <c r="HX460"/>
      <c r="HY460"/>
      <c r="HZ460"/>
      <c r="IA460"/>
      <c r="IB460"/>
      <c r="IC460"/>
      <c r="ID460"/>
      <c r="IE460"/>
      <c r="IF460"/>
      <c r="IG460"/>
      <c r="IH460"/>
      <c r="II460"/>
      <c r="IJ460"/>
      <c r="IK460"/>
      <c r="IL460"/>
      <c r="IM460"/>
      <c r="IN460"/>
      <c r="IO460"/>
      <c r="IP460"/>
      <c r="IQ460"/>
      <c r="IR460"/>
      <c r="IS460"/>
      <c r="IT460"/>
      <c r="IU460"/>
      <c r="IV460"/>
      <c r="IW460"/>
      <c r="IX460"/>
      <c r="IY460"/>
      <c r="IZ460"/>
      <c r="JA460"/>
      <c r="JB460"/>
      <c r="JC460"/>
      <c r="JD460"/>
      <c r="JE460"/>
      <c r="JF460"/>
      <c r="JG460"/>
      <c r="JH460"/>
      <c r="JI460"/>
      <c r="JJ460"/>
      <c r="JK460"/>
      <c r="JL460"/>
      <c r="JM460"/>
      <c r="JN460"/>
      <c r="JO460"/>
      <c r="JP460"/>
      <c r="JQ460"/>
      <c r="JR460"/>
      <c r="JS460"/>
      <c r="JT460"/>
      <c r="JU460"/>
      <c r="JV460"/>
      <c r="JW460"/>
      <c r="JX460"/>
      <c r="JY460"/>
      <c r="JZ460"/>
      <c r="KA460"/>
      <c r="KB460"/>
      <c r="KC460"/>
      <c r="KD460"/>
      <c r="KE460"/>
      <c r="KF460"/>
      <c r="KG460"/>
      <c r="KH460"/>
      <c r="KI460"/>
      <c r="KJ460"/>
      <c r="KK460"/>
      <c r="KL460"/>
      <c r="KM460"/>
      <c r="KN460"/>
      <c r="KO460"/>
      <c r="KP460"/>
      <c r="KQ460"/>
      <c r="KR460"/>
      <c r="KS460"/>
    </row>
    <row r="461" spans="2:305" hidden="1" x14ac:dyDescent="0.25">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c r="DF461"/>
      <c r="DG461"/>
      <c r="DH461"/>
      <c r="DI461"/>
      <c r="DJ461"/>
      <c r="DK461"/>
      <c r="DL461"/>
      <c r="DM461"/>
      <c r="DN461"/>
      <c r="DO461"/>
      <c r="DP461"/>
      <c r="DQ461"/>
      <c r="DR461"/>
      <c r="DS461"/>
      <c r="DT461"/>
      <c r="DU461"/>
      <c r="DV461"/>
      <c r="DW461"/>
      <c r="DX461"/>
      <c r="DY461"/>
      <c r="DZ461"/>
      <c r="EA461"/>
      <c r="EB461"/>
      <c r="EC461"/>
      <c r="ED461"/>
      <c r="EE461"/>
      <c r="EF461"/>
      <c r="EG461"/>
      <c r="EH461"/>
      <c r="EI461"/>
      <c r="EJ461"/>
      <c r="EK461"/>
      <c r="EL461"/>
      <c r="EM461"/>
      <c r="EN461"/>
      <c r="EO461"/>
      <c r="EP461"/>
      <c r="EQ461"/>
      <c r="ER461"/>
      <c r="ES461"/>
      <c r="ET461"/>
      <c r="EU461"/>
      <c r="EV461"/>
      <c r="EW461"/>
      <c r="EX461"/>
      <c r="EY461"/>
      <c r="EZ461"/>
      <c r="FA461"/>
      <c r="FB461"/>
      <c r="FC461"/>
      <c r="FD461"/>
      <c r="FE461"/>
      <c r="FF461"/>
      <c r="FG461"/>
      <c r="FH461"/>
      <c r="FI461"/>
      <c r="FJ461"/>
      <c r="FK461"/>
      <c r="FL461"/>
      <c r="FM461"/>
      <c r="FN461"/>
      <c r="FO461"/>
      <c r="FP461"/>
      <c r="FQ461"/>
      <c r="FR461"/>
      <c r="FS461"/>
      <c r="FT461"/>
      <c r="FU461"/>
      <c r="FV461"/>
      <c r="FW461"/>
      <c r="FX461"/>
      <c r="FY461"/>
      <c r="FZ461"/>
      <c r="GA461"/>
      <c r="GB461"/>
      <c r="GC461"/>
      <c r="GD461"/>
      <c r="GE461"/>
      <c r="GF461"/>
      <c r="GG461"/>
      <c r="GH461"/>
      <c r="GI461"/>
      <c r="GJ461"/>
      <c r="GK461"/>
      <c r="GL461"/>
      <c r="GM461"/>
      <c r="GN461"/>
      <c r="GO461"/>
      <c r="GP461"/>
      <c r="GQ461"/>
      <c r="GR461"/>
      <c r="GS461"/>
      <c r="GT461"/>
      <c r="GU461"/>
      <c r="GV461"/>
      <c r="GW461"/>
      <c r="GX461"/>
      <c r="GY461"/>
      <c r="GZ461"/>
      <c r="HA461"/>
      <c r="HB461"/>
      <c r="HC461"/>
      <c r="HD461"/>
      <c r="HE461"/>
      <c r="HF461"/>
      <c r="HG461"/>
      <c r="HH461"/>
      <c r="HI461"/>
      <c r="HJ461"/>
      <c r="HK461"/>
      <c r="HL461"/>
      <c r="HM461"/>
      <c r="HN461"/>
      <c r="HO461"/>
      <c r="HP461"/>
      <c r="HQ461"/>
      <c r="HR461"/>
      <c r="HS461"/>
      <c r="HT461"/>
      <c r="HU461"/>
      <c r="HV461"/>
      <c r="HW461"/>
      <c r="HX461"/>
      <c r="HY461"/>
      <c r="HZ461"/>
      <c r="IA461"/>
      <c r="IB461"/>
      <c r="IC461"/>
      <c r="ID461"/>
      <c r="IE461"/>
      <c r="IF461"/>
      <c r="IG461"/>
      <c r="IH461"/>
      <c r="II461"/>
      <c r="IJ461"/>
      <c r="IK461"/>
      <c r="IL461"/>
      <c r="IM461"/>
      <c r="IN461"/>
      <c r="IO461"/>
      <c r="IP461"/>
      <c r="IQ461"/>
      <c r="IR461"/>
      <c r="IS461"/>
      <c r="IT461"/>
      <c r="IU461"/>
      <c r="IV461"/>
      <c r="IW461"/>
      <c r="IX461"/>
      <c r="IY461"/>
      <c r="IZ461"/>
      <c r="JA461"/>
      <c r="JB461"/>
      <c r="JC461"/>
      <c r="JD461"/>
      <c r="JE461"/>
      <c r="JF461"/>
      <c r="JG461"/>
      <c r="JH461"/>
      <c r="JI461"/>
      <c r="JJ461"/>
      <c r="JK461"/>
      <c r="JL461"/>
      <c r="JM461"/>
      <c r="JN461"/>
      <c r="JO461"/>
      <c r="JP461"/>
      <c r="JQ461"/>
      <c r="JR461"/>
      <c r="JS461"/>
      <c r="JT461"/>
      <c r="JU461"/>
      <c r="JV461"/>
      <c r="JW461"/>
      <c r="JX461"/>
      <c r="JY461"/>
      <c r="JZ461"/>
      <c r="KA461"/>
      <c r="KB461"/>
      <c r="KC461"/>
      <c r="KD461"/>
      <c r="KE461"/>
      <c r="KF461"/>
      <c r="KG461"/>
      <c r="KH461"/>
      <c r="KI461"/>
      <c r="KJ461"/>
      <c r="KK461"/>
      <c r="KL461"/>
      <c r="KM461"/>
      <c r="KN461"/>
      <c r="KO461"/>
      <c r="KP461"/>
      <c r="KQ461"/>
      <c r="KR461"/>
      <c r="KS461"/>
    </row>
    <row r="462" spans="2:305" hidden="1" x14ac:dyDescent="0.25">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c r="DF462"/>
      <c r="DG462"/>
      <c r="DH462"/>
      <c r="DI462"/>
      <c r="DJ462"/>
      <c r="DK462"/>
      <c r="DL462"/>
      <c r="DM462"/>
      <c r="DN462"/>
      <c r="DO462"/>
      <c r="DP462"/>
      <c r="DQ462"/>
      <c r="DR462"/>
      <c r="DS462"/>
      <c r="DT462"/>
      <c r="DU462"/>
      <c r="DV462"/>
      <c r="DW462"/>
      <c r="DX462"/>
      <c r="DY462"/>
      <c r="DZ462"/>
      <c r="EA462"/>
      <c r="EB462"/>
      <c r="EC462"/>
      <c r="ED462"/>
      <c r="EE462"/>
      <c r="EF462"/>
      <c r="EG462"/>
      <c r="EH462"/>
      <c r="EI462"/>
      <c r="EJ462"/>
      <c r="EK462"/>
      <c r="EL462"/>
      <c r="EM462"/>
      <c r="EN462"/>
      <c r="EO462"/>
      <c r="EP462"/>
      <c r="EQ462"/>
      <c r="ER462"/>
      <c r="ES462"/>
      <c r="ET462"/>
      <c r="EU462"/>
      <c r="EV462"/>
      <c r="EW462"/>
      <c r="EX462"/>
      <c r="EY462"/>
      <c r="EZ462"/>
      <c r="FA462"/>
      <c r="FB462"/>
      <c r="FC462"/>
      <c r="FD462"/>
      <c r="FE462"/>
      <c r="FF462"/>
      <c r="FG462"/>
      <c r="FH462"/>
      <c r="FI462"/>
      <c r="FJ462"/>
      <c r="FK462"/>
      <c r="FL462"/>
      <c r="FM462"/>
      <c r="FN462"/>
      <c r="FO462"/>
      <c r="FP462"/>
      <c r="FQ462"/>
      <c r="FR462"/>
      <c r="FS462"/>
      <c r="FT462"/>
      <c r="FU462"/>
      <c r="FV462"/>
      <c r="FW462"/>
      <c r="FX462"/>
      <c r="FY462"/>
      <c r="FZ462"/>
      <c r="GA462"/>
      <c r="GB462"/>
      <c r="GC462"/>
      <c r="GD462"/>
      <c r="GE462"/>
      <c r="GF462"/>
      <c r="GG462"/>
      <c r="GH462"/>
      <c r="GI462"/>
      <c r="GJ462"/>
      <c r="GK462"/>
      <c r="GL462"/>
      <c r="GM462"/>
      <c r="GN462"/>
      <c r="GO462"/>
      <c r="GP462"/>
      <c r="GQ462"/>
      <c r="GR462"/>
      <c r="GS462"/>
      <c r="GT462"/>
      <c r="GU462"/>
      <c r="GV462"/>
      <c r="GW462"/>
      <c r="GX462"/>
      <c r="GY462"/>
      <c r="GZ462"/>
      <c r="HA462"/>
      <c r="HB462"/>
      <c r="HC462"/>
      <c r="HD462"/>
      <c r="HE462"/>
      <c r="HF462"/>
      <c r="HG462"/>
      <c r="HH462"/>
      <c r="HI462"/>
      <c r="HJ462"/>
      <c r="HK462"/>
      <c r="HL462"/>
      <c r="HM462"/>
      <c r="HN462"/>
      <c r="HO462"/>
      <c r="HP462"/>
      <c r="HQ462"/>
      <c r="HR462"/>
      <c r="HS462"/>
      <c r="HT462"/>
      <c r="HU462"/>
      <c r="HV462"/>
      <c r="HW462"/>
      <c r="HX462"/>
      <c r="HY462"/>
      <c r="HZ462"/>
      <c r="IA462"/>
      <c r="IB462"/>
      <c r="IC462"/>
      <c r="ID462"/>
      <c r="IE462"/>
      <c r="IF462"/>
      <c r="IG462"/>
      <c r="IH462"/>
      <c r="II462"/>
      <c r="IJ462"/>
      <c r="IK462"/>
      <c r="IL462"/>
      <c r="IM462"/>
      <c r="IN462"/>
      <c r="IO462"/>
      <c r="IP462"/>
      <c r="IQ462"/>
      <c r="IR462"/>
      <c r="IS462"/>
      <c r="IT462"/>
      <c r="IU462"/>
      <c r="IV462"/>
      <c r="IW462"/>
      <c r="IX462"/>
      <c r="IY462"/>
      <c r="IZ462"/>
      <c r="JA462"/>
      <c r="JB462"/>
      <c r="JC462"/>
      <c r="JD462"/>
      <c r="JE462"/>
      <c r="JF462"/>
      <c r="JG462"/>
      <c r="JH462"/>
      <c r="JI462"/>
      <c r="JJ462"/>
      <c r="JK462"/>
      <c r="JL462"/>
      <c r="JM462"/>
      <c r="JN462"/>
      <c r="JO462"/>
      <c r="JP462"/>
      <c r="JQ462"/>
      <c r="JR462"/>
      <c r="JS462"/>
      <c r="JT462"/>
      <c r="JU462"/>
      <c r="JV462"/>
      <c r="JW462"/>
      <c r="JX462"/>
      <c r="JY462"/>
      <c r="JZ462"/>
      <c r="KA462"/>
      <c r="KB462"/>
      <c r="KC462"/>
      <c r="KD462"/>
      <c r="KE462"/>
      <c r="KF462"/>
      <c r="KG462"/>
      <c r="KH462"/>
      <c r="KI462"/>
      <c r="KJ462"/>
      <c r="KK462"/>
      <c r="KL462"/>
      <c r="KM462"/>
      <c r="KN462"/>
      <c r="KO462"/>
      <c r="KP462"/>
      <c r="KQ462"/>
      <c r="KR462"/>
      <c r="KS462"/>
    </row>
    <row r="463" spans="2:305" hidden="1" x14ac:dyDescent="0.25">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c r="DF463"/>
      <c r="DG463"/>
      <c r="DH463"/>
      <c r="DI463"/>
      <c r="DJ463"/>
      <c r="DK463"/>
      <c r="DL463"/>
      <c r="DM463"/>
      <c r="DN463"/>
      <c r="DO463"/>
      <c r="DP463"/>
      <c r="DQ463"/>
      <c r="DR463"/>
      <c r="DS463"/>
      <c r="DT463"/>
      <c r="DU463"/>
      <c r="DV463"/>
      <c r="DW463"/>
      <c r="DX463"/>
      <c r="DY463"/>
      <c r="DZ463"/>
      <c r="EA463"/>
      <c r="EB463"/>
      <c r="EC463"/>
      <c r="ED463"/>
      <c r="EE463"/>
      <c r="EF463"/>
      <c r="EG463"/>
      <c r="EH463"/>
      <c r="EI463"/>
      <c r="EJ463"/>
      <c r="EK463"/>
      <c r="EL463"/>
      <c r="EM463"/>
      <c r="EN463"/>
      <c r="EO463"/>
      <c r="EP463"/>
      <c r="EQ463"/>
      <c r="ER463"/>
      <c r="ES463"/>
      <c r="ET463"/>
      <c r="EU463"/>
      <c r="EV463"/>
      <c r="EW463"/>
      <c r="EX463"/>
      <c r="EY463"/>
      <c r="EZ463"/>
      <c r="FA463"/>
      <c r="FB463"/>
      <c r="FC463"/>
      <c r="FD463"/>
      <c r="FE463"/>
      <c r="FF463"/>
      <c r="FG463"/>
      <c r="FH463"/>
      <c r="FI463"/>
      <c r="FJ463"/>
      <c r="FK463"/>
      <c r="FL463"/>
      <c r="FM463"/>
      <c r="FN463"/>
      <c r="FO463"/>
      <c r="FP463"/>
      <c r="FQ463"/>
      <c r="FR463"/>
      <c r="FS463"/>
      <c r="FT463"/>
      <c r="FU463"/>
      <c r="FV463"/>
      <c r="FW463"/>
      <c r="FX463"/>
      <c r="FY463"/>
      <c r="FZ463"/>
      <c r="GA463"/>
      <c r="GB463"/>
      <c r="GC463"/>
      <c r="GD463"/>
      <c r="GE463"/>
      <c r="GF463"/>
      <c r="GG463"/>
      <c r="GH463"/>
      <c r="GI463"/>
      <c r="GJ463"/>
      <c r="GK463"/>
      <c r="GL463"/>
      <c r="GM463"/>
      <c r="GN463"/>
      <c r="GO463"/>
      <c r="GP463"/>
      <c r="GQ463"/>
      <c r="GR463"/>
      <c r="GS463"/>
      <c r="GT463"/>
      <c r="GU463"/>
      <c r="GV463"/>
      <c r="GW463"/>
      <c r="GX463"/>
      <c r="GY463"/>
      <c r="GZ463"/>
      <c r="HA463"/>
      <c r="HB463"/>
      <c r="HC463"/>
      <c r="HD463"/>
      <c r="HE463"/>
      <c r="HF463"/>
      <c r="HG463"/>
      <c r="HH463"/>
      <c r="HI463"/>
      <c r="HJ463"/>
      <c r="HK463"/>
      <c r="HL463"/>
      <c r="HM463"/>
      <c r="HN463"/>
      <c r="HO463"/>
      <c r="HP463"/>
      <c r="HQ463"/>
      <c r="HR463"/>
      <c r="HS463"/>
      <c r="HT463"/>
      <c r="HU463"/>
      <c r="HV463"/>
      <c r="HW463"/>
      <c r="HX463"/>
      <c r="HY463"/>
      <c r="HZ463"/>
      <c r="IA463"/>
      <c r="IB463"/>
      <c r="IC463"/>
      <c r="ID463"/>
      <c r="IE463"/>
      <c r="IF463"/>
      <c r="IG463"/>
      <c r="IH463"/>
      <c r="II463"/>
      <c r="IJ463"/>
      <c r="IK463"/>
      <c r="IL463"/>
      <c r="IM463"/>
      <c r="IN463"/>
      <c r="IO463"/>
      <c r="IP463"/>
      <c r="IQ463"/>
      <c r="IR463"/>
      <c r="IS463"/>
      <c r="IT463"/>
      <c r="IU463"/>
      <c r="IV463"/>
      <c r="IW463"/>
      <c r="IX463"/>
      <c r="IY463"/>
      <c r="IZ463"/>
      <c r="JA463"/>
      <c r="JB463"/>
      <c r="JC463"/>
      <c r="JD463"/>
      <c r="JE463"/>
      <c r="JF463"/>
      <c r="JG463"/>
      <c r="JH463"/>
      <c r="JI463"/>
      <c r="JJ463"/>
      <c r="JK463"/>
      <c r="JL463"/>
      <c r="JM463"/>
      <c r="JN463"/>
      <c r="JO463"/>
      <c r="JP463"/>
      <c r="JQ463"/>
      <c r="JR463"/>
      <c r="JS463"/>
      <c r="JT463"/>
      <c r="JU463"/>
      <c r="JV463"/>
      <c r="JW463"/>
      <c r="JX463"/>
      <c r="JY463"/>
      <c r="JZ463"/>
      <c r="KA463"/>
      <c r="KB463"/>
      <c r="KC463"/>
      <c r="KD463"/>
      <c r="KE463"/>
      <c r="KF463"/>
      <c r="KG463"/>
      <c r="KH463"/>
      <c r="KI463"/>
      <c r="KJ463"/>
      <c r="KK463"/>
      <c r="KL463"/>
      <c r="KM463"/>
      <c r="KN463"/>
      <c r="KO463"/>
      <c r="KP463"/>
      <c r="KQ463"/>
      <c r="KR463"/>
      <c r="KS463"/>
    </row>
    <row r="464" spans="2:305" hidden="1" x14ac:dyDescent="0.25">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c r="DF464"/>
      <c r="DG464"/>
      <c r="DH464"/>
      <c r="DI464"/>
      <c r="DJ464"/>
      <c r="DK464"/>
      <c r="DL464"/>
      <c r="DM464"/>
      <c r="DN464"/>
      <c r="DO464"/>
      <c r="DP464"/>
      <c r="DQ464"/>
      <c r="DR464"/>
      <c r="DS464"/>
      <c r="DT464"/>
      <c r="DU464"/>
      <c r="DV464"/>
      <c r="DW464"/>
      <c r="DX464"/>
      <c r="DY464"/>
      <c r="DZ464"/>
      <c r="EA464"/>
      <c r="EB464"/>
      <c r="EC464"/>
      <c r="ED464"/>
      <c r="EE464"/>
      <c r="EF464"/>
      <c r="EG464"/>
      <c r="EH464"/>
      <c r="EI464"/>
      <c r="EJ464"/>
      <c r="EK464"/>
      <c r="EL464"/>
      <c r="EM464"/>
      <c r="EN464"/>
      <c r="EO464"/>
      <c r="EP464"/>
      <c r="EQ464"/>
      <c r="ER464"/>
      <c r="ES464"/>
      <c r="ET464"/>
      <c r="EU464"/>
      <c r="EV464"/>
      <c r="EW464"/>
      <c r="EX464"/>
      <c r="EY464"/>
      <c r="EZ464"/>
      <c r="FA464"/>
      <c r="FB464"/>
      <c r="FC464"/>
      <c r="FD464"/>
      <c r="FE464"/>
      <c r="FF464"/>
      <c r="FG464"/>
      <c r="FH464"/>
      <c r="FI464"/>
      <c r="FJ464"/>
      <c r="FK464"/>
      <c r="FL464"/>
      <c r="FM464"/>
      <c r="FN464"/>
      <c r="FO464"/>
      <c r="FP464"/>
      <c r="FQ464"/>
      <c r="FR464"/>
      <c r="FS464"/>
      <c r="FT464"/>
      <c r="FU464"/>
      <c r="FV464"/>
      <c r="FW464"/>
      <c r="FX464"/>
      <c r="FY464"/>
      <c r="FZ464"/>
      <c r="GA464"/>
      <c r="GB464"/>
      <c r="GC464"/>
      <c r="GD464"/>
      <c r="GE464"/>
      <c r="GF464"/>
      <c r="GG464"/>
      <c r="GH464"/>
      <c r="GI464"/>
      <c r="GJ464"/>
      <c r="GK464"/>
      <c r="GL464"/>
      <c r="GM464"/>
      <c r="GN464"/>
      <c r="GO464"/>
      <c r="GP464"/>
      <c r="GQ464"/>
      <c r="GR464"/>
      <c r="GS464"/>
      <c r="GT464"/>
      <c r="GU464"/>
      <c r="GV464"/>
      <c r="GW464"/>
      <c r="GX464"/>
      <c r="GY464"/>
      <c r="GZ464"/>
      <c r="HA464"/>
      <c r="HB464"/>
      <c r="HC464"/>
      <c r="HD464"/>
      <c r="HE464"/>
      <c r="HF464"/>
      <c r="HG464"/>
      <c r="HH464"/>
      <c r="HI464"/>
      <c r="HJ464"/>
      <c r="HK464"/>
      <c r="HL464"/>
      <c r="HM464"/>
      <c r="HN464"/>
      <c r="HO464"/>
      <c r="HP464"/>
      <c r="HQ464"/>
      <c r="HR464"/>
      <c r="HS464"/>
      <c r="HT464"/>
      <c r="HU464"/>
      <c r="HV464"/>
      <c r="HW464"/>
      <c r="HX464"/>
      <c r="HY464"/>
      <c r="HZ464"/>
      <c r="IA464"/>
      <c r="IB464"/>
      <c r="IC464"/>
      <c r="ID464"/>
      <c r="IE464"/>
      <c r="IF464"/>
      <c r="IG464"/>
      <c r="IH464"/>
      <c r="II464"/>
      <c r="IJ464"/>
      <c r="IK464"/>
      <c r="IL464"/>
      <c r="IM464"/>
      <c r="IN464"/>
      <c r="IO464"/>
      <c r="IP464"/>
      <c r="IQ464"/>
      <c r="IR464"/>
      <c r="IS464"/>
      <c r="IT464"/>
      <c r="IU464"/>
      <c r="IV464"/>
      <c r="IW464"/>
      <c r="IX464"/>
      <c r="IY464"/>
      <c r="IZ464"/>
      <c r="JA464"/>
      <c r="JB464"/>
      <c r="JC464"/>
      <c r="JD464"/>
      <c r="JE464"/>
      <c r="JF464"/>
      <c r="JG464"/>
      <c r="JH464"/>
      <c r="JI464"/>
      <c r="JJ464"/>
      <c r="JK464"/>
      <c r="JL464"/>
      <c r="JM464"/>
      <c r="JN464"/>
      <c r="JO464"/>
      <c r="JP464"/>
      <c r="JQ464"/>
      <c r="JR464"/>
      <c r="JS464"/>
      <c r="JT464"/>
      <c r="JU464"/>
      <c r="JV464"/>
      <c r="JW464"/>
      <c r="JX464"/>
      <c r="JY464"/>
      <c r="JZ464"/>
      <c r="KA464"/>
      <c r="KB464"/>
      <c r="KC464"/>
      <c r="KD464"/>
      <c r="KE464"/>
      <c r="KF464"/>
      <c r="KG464"/>
      <c r="KH464"/>
      <c r="KI464"/>
      <c r="KJ464"/>
      <c r="KK464"/>
      <c r="KL464"/>
      <c r="KM464"/>
      <c r="KN464"/>
      <c r="KO464"/>
      <c r="KP464"/>
      <c r="KQ464"/>
      <c r="KR464"/>
      <c r="KS464"/>
    </row>
    <row r="465" spans="2:305" hidden="1" x14ac:dyDescent="0.2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c r="EN465"/>
      <c r="EO465"/>
      <c r="EP465"/>
      <c r="EQ465"/>
      <c r="ER465"/>
      <c r="ES465"/>
      <c r="ET465"/>
      <c r="EU465"/>
      <c r="EV465"/>
      <c r="EW465"/>
      <c r="EX465"/>
      <c r="EY465"/>
      <c r="EZ465"/>
      <c r="FA465"/>
      <c r="FB465"/>
      <c r="FC465"/>
      <c r="FD465"/>
      <c r="FE465"/>
      <c r="FF465"/>
      <c r="FG465"/>
      <c r="FH465"/>
      <c r="FI465"/>
      <c r="FJ465"/>
      <c r="FK465"/>
      <c r="FL465"/>
      <c r="FM465"/>
      <c r="FN465"/>
      <c r="FO465"/>
      <c r="FP465"/>
      <c r="FQ465"/>
      <c r="FR465"/>
      <c r="FS465"/>
      <c r="FT465"/>
      <c r="FU465"/>
      <c r="FV465"/>
      <c r="FW465"/>
      <c r="FX465"/>
      <c r="FY465"/>
      <c r="FZ465"/>
      <c r="GA465"/>
      <c r="GB465"/>
      <c r="GC465"/>
      <c r="GD465"/>
      <c r="GE465"/>
      <c r="GF465"/>
      <c r="GG465"/>
      <c r="GH465"/>
      <c r="GI465"/>
      <c r="GJ465"/>
      <c r="GK465"/>
      <c r="GL465"/>
      <c r="GM465"/>
      <c r="GN465"/>
      <c r="GO465"/>
      <c r="GP465"/>
      <c r="GQ465"/>
      <c r="GR465"/>
      <c r="GS465"/>
      <c r="GT465"/>
      <c r="GU465"/>
      <c r="GV465"/>
      <c r="GW465"/>
      <c r="GX465"/>
      <c r="GY465"/>
      <c r="GZ465"/>
      <c r="HA465"/>
      <c r="HB465"/>
      <c r="HC465"/>
      <c r="HD465"/>
      <c r="HE465"/>
      <c r="HF465"/>
      <c r="HG465"/>
      <c r="HH465"/>
      <c r="HI465"/>
      <c r="HJ465"/>
      <c r="HK465"/>
      <c r="HL465"/>
      <c r="HM465"/>
      <c r="HN465"/>
      <c r="HO465"/>
      <c r="HP465"/>
      <c r="HQ465"/>
      <c r="HR465"/>
      <c r="HS465"/>
      <c r="HT465"/>
      <c r="HU465"/>
      <c r="HV465"/>
      <c r="HW465"/>
      <c r="HX465"/>
      <c r="HY465"/>
      <c r="HZ465"/>
      <c r="IA465"/>
      <c r="IB465"/>
      <c r="IC465"/>
      <c r="ID465"/>
      <c r="IE465"/>
      <c r="IF465"/>
      <c r="IG465"/>
      <c r="IH465"/>
      <c r="II465"/>
      <c r="IJ465"/>
      <c r="IK465"/>
      <c r="IL465"/>
      <c r="IM465"/>
      <c r="IN465"/>
      <c r="IO465"/>
      <c r="IP465"/>
      <c r="IQ465"/>
      <c r="IR465"/>
      <c r="IS465"/>
      <c r="IT465"/>
      <c r="IU465"/>
      <c r="IV465"/>
      <c r="IW465"/>
      <c r="IX465"/>
      <c r="IY465"/>
      <c r="IZ465"/>
      <c r="JA465"/>
      <c r="JB465"/>
      <c r="JC465"/>
      <c r="JD465"/>
      <c r="JE465"/>
      <c r="JF465"/>
      <c r="JG465"/>
      <c r="JH465"/>
      <c r="JI465"/>
      <c r="JJ465"/>
      <c r="JK465"/>
      <c r="JL465"/>
      <c r="JM465"/>
      <c r="JN465"/>
      <c r="JO465"/>
      <c r="JP465"/>
      <c r="JQ465"/>
      <c r="JR465"/>
      <c r="JS465"/>
      <c r="JT465"/>
      <c r="JU465"/>
      <c r="JV465"/>
      <c r="JW465"/>
      <c r="JX465"/>
      <c r="JY465"/>
      <c r="JZ465"/>
      <c r="KA465"/>
      <c r="KB465"/>
      <c r="KC465"/>
      <c r="KD465"/>
      <c r="KE465"/>
      <c r="KF465"/>
      <c r="KG465"/>
      <c r="KH465"/>
      <c r="KI465"/>
      <c r="KJ465"/>
      <c r="KK465"/>
      <c r="KL465"/>
      <c r="KM465"/>
      <c r="KN465"/>
      <c r="KO465"/>
      <c r="KP465"/>
      <c r="KQ465"/>
      <c r="KR465"/>
      <c r="KS465"/>
    </row>
    <row r="466" spans="2:305" hidden="1" x14ac:dyDescent="0.25">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c r="EN466"/>
      <c r="EO466"/>
      <c r="EP466"/>
      <c r="EQ466"/>
      <c r="ER466"/>
      <c r="ES466"/>
      <c r="ET466"/>
      <c r="EU466"/>
      <c r="EV466"/>
      <c r="EW466"/>
      <c r="EX466"/>
      <c r="EY466"/>
      <c r="EZ466"/>
      <c r="FA466"/>
      <c r="FB466"/>
      <c r="FC466"/>
      <c r="FD466"/>
      <c r="FE466"/>
      <c r="FF466"/>
      <c r="FG466"/>
      <c r="FH466"/>
      <c r="FI466"/>
      <c r="FJ466"/>
      <c r="FK466"/>
      <c r="FL466"/>
      <c r="FM466"/>
      <c r="FN466"/>
      <c r="FO466"/>
      <c r="FP466"/>
      <c r="FQ466"/>
      <c r="FR466"/>
      <c r="FS466"/>
      <c r="FT466"/>
      <c r="FU466"/>
      <c r="FV466"/>
      <c r="FW466"/>
      <c r="FX466"/>
      <c r="FY466"/>
      <c r="FZ466"/>
      <c r="GA466"/>
      <c r="GB466"/>
      <c r="GC466"/>
      <c r="GD466"/>
      <c r="GE466"/>
      <c r="GF466"/>
      <c r="GG466"/>
      <c r="GH466"/>
      <c r="GI466"/>
      <c r="GJ466"/>
      <c r="GK466"/>
      <c r="GL466"/>
      <c r="GM466"/>
      <c r="GN466"/>
      <c r="GO466"/>
      <c r="GP466"/>
      <c r="GQ466"/>
      <c r="GR466"/>
      <c r="GS466"/>
      <c r="GT466"/>
      <c r="GU466"/>
      <c r="GV466"/>
      <c r="GW466"/>
      <c r="GX466"/>
      <c r="GY466"/>
      <c r="GZ466"/>
      <c r="HA466"/>
      <c r="HB466"/>
      <c r="HC466"/>
      <c r="HD466"/>
      <c r="HE466"/>
      <c r="HF466"/>
      <c r="HG466"/>
      <c r="HH466"/>
      <c r="HI466"/>
      <c r="HJ466"/>
      <c r="HK466"/>
      <c r="HL466"/>
      <c r="HM466"/>
      <c r="HN466"/>
      <c r="HO466"/>
      <c r="HP466"/>
      <c r="HQ466"/>
      <c r="HR466"/>
      <c r="HS466"/>
      <c r="HT466"/>
      <c r="HU466"/>
      <c r="HV466"/>
      <c r="HW466"/>
      <c r="HX466"/>
      <c r="HY466"/>
      <c r="HZ466"/>
      <c r="IA466"/>
      <c r="IB466"/>
      <c r="IC466"/>
      <c r="ID466"/>
      <c r="IE466"/>
      <c r="IF466"/>
      <c r="IG466"/>
      <c r="IH466"/>
      <c r="II466"/>
      <c r="IJ466"/>
      <c r="IK466"/>
      <c r="IL466"/>
      <c r="IM466"/>
      <c r="IN466"/>
      <c r="IO466"/>
      <c r="IP466"/>
      <c r="IQ466"/>
      <c r="IR466"/>
      <c r="IS466"/>
      <c r="IT466"/>
      <c r="IU466"/>
      <c r="IV466"/>
      <c r="IW466"/>
      <c r="IX466"/>
      <c r="IY466"/>
      <c r="IZ466"/>
      <c r="JA466"/>
      <c r="JB466"/>
      <c r="JC466"/>
      <c r="JD466"/>
      <c r="JE466"/>
      <c r="JF466"/>
      <c r="JG466"/>
      <c r="JH466"/>
      <c r="JI466"/>
      <c r="JJ466"/>
      <c r="JK466"/>
      <c r="JL466"/>
      <c r="JM466"/>
      <c r="JN466"/>
      <c r="JO466"/>
      <c r="JP466"/>
      <c r="JQ466"/>
      <c r="JR466"/>
      <c r="JS466"/>
      <c r="JT466"/>
      <c r="JU466"/>
      <c r="JV466"/>
      <c r="JW466"/>
      <c r="JX466"/>
      <c r="JY466"/>
      <c r="JZ466"/>
      <c r="KA466"/>
      <c r="KB466"/>
      <c r="KC466"/>
      <c r="KD466"/>
      <c r="KE466"/>
      <c r="KF466"/>
      <c r="KG466"/>
      <c r="KH466"/>
      <c r="KI466"/>
      <c r="KJ466"/>
      <c r="KK466"/>
      <c r="KL466"/>
      <c r="KM466"/>
      <c r="KN466"/>
      <c r="KO466"/>
      <c r="KP466"/>
      <c r="KQ466"/>
      <c r="KR466"/>
      <c r="KS466"/>
    </row>
    <row r="467" spans="2:305" hidden="1" x14ac:dyDescent="0.25">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c r="EN467"/>
      <c r="EO467"/>
      <c r="EP467"/>
      <c r="EQ467"/>
      <c r="ER467"/>
      <c r="ES467"/>
      <c r="ET467"/>
      <c r="EU467"/>
      <c r="EV467"/>
      <c r="EW467"/>
      <c r="EX467"/>
      <c r="EY467"/>
      <c r="EZ467"/>
      <c r="FA467"/>
      <c r="FB467"/>
      <c r="FC467"/>
      <c r="FD467"/>
      <c r="FE467"/>
      <c r="FF467"/>
      <c r="FG467"/>
      <c r="FH467"/>
      <c r="FI467"/>
      <c r="FJ467"/>
      <c r="FK467"/>
      <c r="FL467"/>
      <c r="FM467"/>
      <c r="FN467"/>
      <c r="FO467"/>
      <c r="FP467"/>
      <c r="FQ467"/>
      <c r="FR467"/>
      <c r="FS467"/>
      <c r="FT467"/>
      <c r="FU467"/>
      <c r="FV467"/>
      <c r="FW467"/>
      <c r="FX467"/>
      <c r="FY467"/>
      <c r="FZ467"/>
      <c r="GA467"/>
      <c r="GB467"/>
      <c r="GC467"/>
      <c r="GD467"/>
      <c r="GE467"/>
      <c r="GF467"/>
      <c r="GG467"/>
      <c r="GH467"/>
      <c r="GI467"/>
      <c r="GJ467"/>
      <c r="GK467"/>
      <c r="GL467"/>
      <c r="GM467"/>
      <c r="GN467"/>
      <c r="GO467"/>
      <c r="GP467"/>
      <c r="GQ467"/>
      <c r="GR467"/>
      <c r="GS467"/>
      <c r="GT467"/>
      <c r="GU467"/>
      <c r="GV467"/>
      <c r="GW467"/>
      <c r="GX467"/>
      <c r="GY467"/>
      <c r="GZ467"/>
      <c r="HA467"/>
      <c r="HB467"/>
      <c r="HC467"/>
      <c r="HD467"/>
      <c r="HE467"/>
      <c r="HF467"/>
      <c r="HG467"/>
      <c r="HH467"/>
      <c r="HI467"/>
      <c r="HJ467"/>
      <c r="HK467"/>
      <c r="HL467"/>
      <c r="HM467"/>
      <c r="HN467"/>
      <c r="HO467"/>
      <c r="HP467"/>
      <c r="HQ467"/>
      <c r="HR467"/>
      <c r="HS467"/>
      <c r="HT467"/>
      <c r="HU467"/>
      <c r="HV467"/>
      <c r="HW467"/>
      <c r="HX467"/>
      <c r="HY467"/>
      <c r="HZ467"/>
      <c r="IA467"/>
      <c r="IB467"/>
      <c r="IC467"/>
      <c r="ID467"/>
      <c r="IE467"/>
      <c r="IF467"/>
      <c r="IG467"/>
      <c r="IH467"/>
      <c r="II467"/>
      <c r="IJ467"/>
      <c r="IK467"/>
      <c r="IL467"/>
      <c r="IM467"/>
      <c r="IN467"/>
      <c r="IO467"/>
      <c r="IP467"/>
      <c r="IQ467"/>
      <c r="IR467"/>
      <c r="IS467"/>
      <c r="IT467"/>
      <c r="IU467"/>
      <c r="IV467"/>
      <c r="IW467"/>
      <c r="IX467"/>
      <c r="IY467"/>
      <c r="IZ467"/>
      <c r="JA467"/>
      <c r="JB467"/>
      <c r="JC467"/>
      <c r="JD467"/>
      <c r="JE467"/>
      <c r="JF467"/>
      <c r="JG467"/>
      <c r="JH467"/>
      <c r="JI467"/>
      <c r="JJ467"/>
      <c r="JK467"/>
      <c r="JL467"/>
      <c r="JM467"/>
      <c r="JN467"/>
      <c r="JO467"/>
      <c r="JP467"/>
      <c r="JQ467"/>
      <c r="JR467"/>
      <c r="JS467"/>
      <c r="JT467"/>
      <c r="JU467"/>
      <c r="JV467"/>
      <c r="JW467"/>
      <c r="JX467"/>
      <c r="JY467"/>
      <c r="JZ467"/>
      <c r="KA467"/>
      <c r="KB467"/>
      <c r="KC467"/>
      <c r="KD467"/>
      <c r="KE467"/>
      <c r="KF467"/>
      <c r="KG467"/>
      <c r="KH467"/>
      <c r="KI467"/>
      <c r="KJ467"/>
      <c r="KK467"/>
      <c r="KL467"/>
      <c r="KM467"/>
      <c r="KN467"/>
      <c r="KO467"/>
      <c r="KP467"/>
      <c r="KQ467"/>
      <c r="KR467"/>
      <c r="KS467"/>
    </row>
    <row r="468" spans="2:305" hidden="1" x14ac:dyDescent="0.25">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c r="EN468"/>
      <c r="EO468"/>
      <c r="EP468"/>
      <c r="EQ468"/>
      <c r="ER468"/>
      <c r="ES468"/>
      <c r="ET468"/>
      <c r="EU468"/>
      <c r="EV468"/>
      <c r="EW468"/>
      <c r="EX468"/>
      <c r="EY468"/>
      <c r="EZ468"/>
      <c r="FA468"/>
      <c r="FB468"/>
      <c r="FC468"/>
      <c r="FD468"/>
      <c r="FE468"/>
      <c r="FF468"/>
      <c r="FG468"/>
      <c r="FH468"/>
      <c r="FI468"/>
      <c r="FJ468"/>
      <c r="FK468"/>
      <c r="FL468"/>
      <c r="FM468"/>
      <c r="FN468"/>
      <c r="FO468"/>
      <c r="FP468"/>
      <c r="FQ468"/>
      <c r="FR468"/>
      <c r="FS468"/>
      <c r="FT468"/>
      <c r="FU468"/>
      <c r="FV468"/>
      <c r="FW468"/>
      <c r="FX468"/>
      <c r="FY468"/>
      <c r="FZ468"/>
      <c r="GA468"/>
      <c r="GB468"/>
      <c r="GC468"/>
      <c r="GD468"/>
      <c r="GE468"/>
      <c r="GF468"/>
      <c r="GG468"/>
      <c r="GH468"/>
      <c r="GI468"/>
      <c r="GJ468"/>
      <c r="GK468"/>
      <c r="GL468"/>
      <c r="GM468"/>
      <c r="GN468"/>
      <c r="GO468"/>
      <c r="GP468"/>
      <c r="GQ468"/>
      <c r="GR468"/>
      <c r="GS468"/>
      <c r="GT468"/>
      <c r="GU468"/>
      <c r="GV468"/>
      <c r="GW468"/>
      <c r="GX468"/>
      <c r="GY468"/>
      <c r="GZ468"/>
      <c r="HA468"/>
      <c r="HB468"/>
      <c r="HC468"/>
      <c r="HD468"/>
      <c r="HE468"/>
      <c r="HF468"/>
      <c r="HG468"/>
      <c r="HH468"/>
      <c r="HI468"/>
      <c r="HJ468"/>
      <c r="HK468"/>
      <c r="HL468"/>
      <c r="HM468"/>
      <c r="HN468"/>
      <c r="HO468"/>
      <c r="HP468"/>
      <c r="HQ468"/>
      <c r="HR468"/>
      <c r="HS468"/>
      <c r="HT468"/>
      <c r="HU468"/>
      <c r="HV468"/>
      <c r="HW468"/>
      <c r="HX468"/>
      <c r="HY468"/>
      <c r="HZ468"/>
      <c r="IA468"/>
      <c r="IB468"/>
      <c r="IC468"/>
      <c r="ID468"/>
      <c r="IE468"/>
      <c r="IF468"/>
      <c r="IG468"/>
      <c r="IH468"/>
      <c r="II468"/>
      <c r="IJ468"/>
      <c r="IK468"/>
      <c r="IL468"/>
      <c r="IM468"/>
      <c r="IN468"/>
      <c r="IO468"/>
      <c r="IP468"/>
      <c r="IQ468"/>
      <c r="IR468"/>
      <c r="IS468"/>
      <c r="IT468"/>
      <c r="IU468"/>
      <c r="IV468"/>
      <c r="IW468"/>
      <c r="IX468"/>
      <c r="IY468"/>
      <c r="IZ468"/>
      <c r="JA468"/>
      <c r="JB468"/>
      <c r="JC468"/>
      <c r="JD468"/>
      <c r="JE468"/>
      <c r="JF468"/>
      <c r="JG468"/>
      <c r="JH468"/>
      <c r="JI468"/>
      <c r="JJ468"/>
      <c r="JK468"/>
      <c r="JL468"/>
      <c r="JM468"/>
      <c r="JN468"/>
      <c r="JO468"/>
      <c r="JP468"/>
      <c r="JQ468"/>
      <c r="JR468"/>
      <c r="JS468"/>
      <c r="JT468"/>
      <c r="JU468"/>
      <c r="JV468"/>
      <c r="JW468"/>
      <c r="JX468"/>
      <c r="JY468"/>
      <c r="JZ468"/>
      <c r="KA468"/>
      <c r="KB468"/>
      <c r="KC468"/>
      <c r="KD468"/>
      <c r="KE468"/>
      <c r="KF468"/>
      <c r="KG468"/>
      <c r="KH468"/>
      <c r="KI468"/>
      <c r="KJ468"/>
      <c r="KK468"/>
      <c r="KL468"/>
      <c r="KM468"/>
      <c r="KN468"/>
      <c r="KO468"/>
      <c r="KP468"/>
      <c r="KQ468"/>
      <c r="KR468"/>
      <c r="KS468"/>
    </row>
    <row r="469" spans="2:305" hidden="1" x14ac:dyDescent="0.25">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c r="EN469"/>
      <c r="EO469"/>
      <c r="EP469"/>
      <c r="EQ469"/>
      <c r="ER469"/>
      <c r="ES469"/>
      <c r="ET469"/>
      <c r="EU469"/>
      <c r="EV469"/>
      <c r="EW469"/>
      <c r="EX469"/>
      <c r="EY469"/>
      <c r="EZ469"/>
      <c r="FA469"/>
      <c r="FB469"/>
      <c r="FC469"/>
      <c r="FD469"/>
      <c r="FE469"/>
      <c r="FF469"/>
      <c r="FG469"/>
      <c r="FH469"/>
      <c r="FI469"/>
      <c r="FJ469"/>
      <c r="FK469"/>
      <c r="FL469"/>
      <c r="FM469"/>
      <c r="FN469"/>
      <c r="FO469"/>
      <c r="FP469"/>
      <c r="FQ469"/>
      <c r="FR469"/>
      <c r="FS469"/>
      <c r="FT469"/>
      <c r="FU469"/>
      <c r="FV469"/>
      <c r="FW469"/>
      <c r="FX469"/>
      <c r="FY469"/>
      <c r="FZ469"/>
      <c r="GA469"/>
      <c r="GB469"/>
      <c r="GC469"/>
      <c r="GD469"/>
      <c r="GE469"/>
      <c r="GF469"/>
      <c r="GG469"/>
      <c r="GH469"/>
      <c r="GI469"/>
      <c r="GJ469"/>
      <c r="GK469"/>
      <c r="GL469"/>
      <c r="GM469"/>
      <c r="GN469"/>
      <c r="GO469"/>
      <c r="GP469"/>
      <c r="GQ469"/>
      <c r="GR469"/>
      <c r="GS469"/>
      <c r="GT469"/>
      <c r="GU469"/>
      <c r="GV469"/>
      <c r="GW469"/>
      <c r="GX469"/>
      <c r="GY469"/>
      <c r="GZ469"/>
      <c r="HA469"/>
      <c r="HB469"/>
      <c r="HC469"/>
      <c r="HD469"/>
      <c r="HE469"/>
      <c r="HF469"/>
      <c r="HG469"/>
      <c r="HH469"/>
      <c r="HI469"/>
      <c r="HJ469"/>
      <c r="HK469"/>
      <c r="HL469"/>
      <c r="HM469"/>
      <c r="HN469"/>
      <c r="HO469"/>
      <c r="HP469"/>
      <c r="HQ469"/>
      <c r="HR469"/>
      <c r="HS469"/>
      <c r="HT469"/>
      <c r="HU469"/>
      <c r="HV469"/>
      <c r="HW469"/>
      <c r="HX469"/>
      <c r="HY469"/>
      <c r="HZ469"/>
      <c r="IA469"/>
      <c r="IB469"/>
      <c r="IC469"/>
      <c r="ID469"/>
      <c r="IE469"/>
      <c r="IF469"/>
      <c r="IG469"/>
      <c r="IH469"/>
      <c r="II469"/>
      <c r="IJ469"/>
      <c r="IK469"/>
      <c r="IL469"/>
      <c r="IM469"/>
      <c r="IN469"/>
      <c r="IO469"/>
      <c r="IP469"/>
      <c r="IQ469"/>
      <c r="IR469"/>
      <c r="IS469"/>
      <c r="IT469"/>
      <c r="IU469"/>
      <c r="IV469"/>
      <c r="IW469"/>
      <c r="IX469"/>
      <c r="IY469"/>
      <c r="IZ469"/>
      <c r="JA469"/>
      <c r="JB469"/>
      <c r="JC469"/>
      <c r="JD469"/>
      <c r="JE469"/>
      <c r="JF469"/>
      <c r="JG469"/>
      <c r="JH469"/>
      <c r="JI469"/>
      <c r="JJ469"/>
      <c r="JK469"/>
      <c r="JL469"/>
      <c r="JM469"/>
      <c r="JN469"/>
      <c r="JO469"/>
      <c r="JP469"/>
      <c r="JQ469"/>
      <c r="JR469"/>
      <c r="JS469"/>
      <c r="JT469"/>
      <c r="JU469"/>
      <c r="JV469"/>
      <c r="JW469"/>
      <c r="JX469"/>
      <c r="JY469"/>
      <c r="JZ469"/>
      <c r="KA469"/>
      <c r="KB469"/>
      <c r="KC469"/>
      <c r="KD469"/>
      <c r="KE469"/>
      <c r="KF469"/>
      <c r="KG469"/>
      <c r="KH469"/>
      <c r="KI469"/>
      <c r="KJ469"/>
      <c r="KK469"/>
      <c r="KL469"/>
      <c r="KM469"/>
      <c r="KN469"/>
      <c r="KO469"/>
      <c r="KP469"/>
      <c r="KQ469"/>
      <c r="KR469"/>
      <c r="KS469"/>
    </row>
    <row r="470" spans="2:305" hidden="1" x14ac:dyDescent="0.25">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c r="DF470"/>
      <c r="DG470"/>
      <c r="DH470"/>
      <c r="DI470"/>
      <c r="DJ470"/>
      <c r="DK470"/>
      <c r="DL470"/>
      <c r="DM470"/>
      <c r="DN470"/>
      <c r="DO470"/>
      <c r="DP470"/>
      <c r="DQ470"/>
      <c r="DR470"/>
      <c r="DS470"/>
      <c r="DT470"/>
      <c r="DU470"/>
      <c r="DV470"/>
      <c r="DW470"/>
      <c r="DX470"/>
      <c r="DY470"/>
      <c r="DZ470"/>
      <c r="EA470"/>
      <c r="EB470"/>
      <c r="EC470"/>
      <c r="ED470"/>
      <c r="EE470"/>
      <c r="EF470"/>
      <c r="EG470"/>
      <c r="EH470"/>
      <c r="EI470"/>
      <c r="EJ470"/>
      <c r="EK470"/>
      <c r="EL470"/>
      <c r="EM470"/>
      <c r="EN470"/>
      <c r="EO470"/>
      <c r="EP470"/>
      <c r="EQ470"/>
      <c r="ER470"/>
      <c r="ES470"/>
      <c r="ET470"/>
      <c r="EU470"/>
      <c r="EV470"/>
      <c r="EW470"/>
      <c r="EX470"/>
      <c r="EY470"/>
      <c r="EZ470"/>
      <c r="FA470"/>
      <c r="FB470"/>
      <c r="FC470"/>
      <c r="FD470"/>
      <c r="FE470"/>
      <c r="FF470"/>
      <c r="FG470"/>
      <c r="FH470"/>
      <c r="FI470"/>
      <c r="FJ470"/>
      <c r="FK470"/>
      <c r="FL470"/>
      <c r="FM470"/>
      <c r="FN470"/>
      <c r="FO470"/>
      <c r="FP470"/>
      <c r="FQ470"/>
      <c r="FR470"/>
      <c r="FS470"/>
      <c r="FT470"/>
      <c r="FU470"/>
      <c r="FV470"/>
      <c r="FW470"/>
      <c r="FX470"/>
      <c r="FY470"/>
      <c r="FZ470"/>
      <c r="GA470"/>
      <c r="GB470"/>
      <c r="GC470"/>
      <c r="GD470"/>
      <c r="GE470"/>
      <c r="GF470"/>
      <c r="GG470"/>
      <c r="GH470"/>
      <c r="GI470"/>
      <c r="GJ470"/>
      <c r="GK470"/>
      <c r="GL470"/>
      <c r="GM470"/>
      <c r="GN470"/>
      <c r="GO470"/>
      <c r="GP470"/>
      <c r="GQ470"/>
      <c r="GR470"/>
      <c r="GS470"/>
      <c r="GT470"/>
      <c r="GU470"/>
      <c r="GV470"/>
      <c r="GW470"/>
      <c r="GX470"/>
      <c r="GY470"/>
      <c r="GZ470"/>
      <c r="HA470"/>
      <c r="HB470"/>
      <c r="HC470"/>
      <c r="HD470"/>
      <c r="HE470"/>
      <c r="HF470"/>
      <c r="HG470"/>
      <c r="HH470"/>
      <c r="HI470"/>
      <c r="HJ470"/>
      <c r="HK470"/>
      <c r="HL470"/>
      <c r="HM470"/>
      <c r="HN470"/>
      <c r="HO470"/>
      <c r="HP470"/>
      <c r="HQ470"/>
      <c r="HR470"/>
      <c r="HS470"/>
      <c r="HT470"/>
      <c r="HU470"/>
      <c r="HV470"/>
      <c r="HW470"/>
      <c r="HX470"/>
      <c r="HY470"/>
      <c r="HZ470"/>
      <c r="IA470"/>
      <c r="IB470"/>
      <c r="IC470"/>
      <c r="ID470"/>
      <c r="IE470"/>
      <c r="IF470"/>
      <c r="IG470"/>
      <c r="IH470"/>
      <c r="II470"/>
      <c r="IJ470"/>
      <c r="IK470"/>
      <c r="IL470"/>
      <c r="IM470"/>
      <c r="IN470"/>
      <c r="IO470"/>
      <c r="IP470"/>
      <c r="IQ470"/>
      <c r="IR470"/>
      <c r="IS470"/>
      <c r="IT470"/>
      <c r="IU470"/>
      <c r="IV470"/>
      <c r="IW470"/>
      <c r="IX470"/>
      <c r="IY470"/>
      <c r="IZ470"/>
      <c r="JA470"/>
      <c r="JB470"/>
      <c r="JC470"/>
      <c r="JD470"/>
      <c r="JE470"/>
      <c r="JF470"/>
      <c r="JG470"/>
      <c r="JH470"/>
      <c r="JI470"/>
      <c r="JJ470"/>
      <c r="JK470"/>
      <c r="JL470"/>
      <c r="JM470"/>
      <c r="JN470"/>
      <c r="JO470"/>
      <c r="JP470"/>
      <c r="JQ470"/>
      <c r="JR470"/>
      <c r="JS470"/>
      <c r="JT470"/>
      <c r="JU470"/>
      <c r="JV470"/>
      <c r="JW470"/>
      <c r="JX470"/>
      <c r="JY470"/>
      <c r="JZ470"/>
      <c r="KA470"/>
      <c r="KB470"/>
      <c r="KC470"/>
      <c r="KD470"/>
      <c r="KE470"/>
      <c r="KF470"/>
      <c r="KG470"/>
      <c r="KH470"/>
      <c r="KI470"/>
      <c r="KJ470"/>
      <c r="KK470"/>
      <c r="KL470"/>
      <c r="KM470"/>
      <c r="KN470"/>
      <c r="KO470"/>
      <c r="KP470"/>
      <c r="KQ470"/>
      <c r="KR470"/>
      <c r="KS470"/>
    </row>
    <row r="471" spans="2:305" hidden="1" x14ac:dyDescent="0.25">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c r="DF471"/>
      <c r="DG471"/>
      <c r="DH471"/>
      <c r="DI471"/>
      <c r="DJ471"/>
      <c r="DK471"/>
      <c r="DL471"/>
      <c r="DM471"/>
      <c r="DN471"/>
      <c r="DO471"/>
      <c r="DP471"/>
      <c r="DQ471"/>
      <c r="DR471"/>
      <c r="DS471"/>
      <c r="DT471"/>
      <c r="DU471"/>
      <c r="DV471"/>
      <c r="DW471"/>
      <c r="DX471"/>
      <c r="DY471"/>
      <c r="DZ471"/>
      <c r="EA471"/>
      <c r="EB471"/>
      <c r="EC471"/>
      <c r="ED471"/>
      <c r="EE471"/>
      <c r="EF471"/>
      <c r="EG471"/>
      <c r="EH471"/>
      <c r="EI471"/>
      <c r="EJ471"/>
      <c r="EK471"/>
      <c r="EL471"/>
      <c r="EM471"/>
      <c r="EN471"/>
      <c r="EO471"/>
      <c r="EP471"/>
      <c r="EQ471"/>
      <c r="ER471"/>
      <c r="ES471"/>
      <c r="ET471"/>
      <c r="EU471"/>
      <c r="EV471"/>
      <c r="EW471"/>
      <c r="EX471"/>
      <c r="EY471"/>
      <c r="EZ471"/>
      <c r="FA471"/>
      <c r="FB471"/>
      <c r="FC471"/>
      <c r="FD471"/>
      <c r="FE471"/>
      <c r="FF471"/>
      <c r="FG471"/>
      <c r="FH471"/>
      <c r="FI471"/>
      <c r="FJ471"/>
      <c r="FK471"/>
      <c r="FL471"/>
      <c r="FM471"/>
      <c r="FN471"/>
      <c r="FO471"/>
      <c r="FP471"/>
      <c r="FQ471"/>
      <c r="FR471"/>
      <c r="FS471"/>
      <c r="FT471"/>
      <c r="FU471"/>
      <c r="FV471"/>
      <c r="FW471"/>
      <c r="FX471"/>
      <c r="FY471"/>
      <c r="FZ471"/>
      <c r="GA471"/>
      <c r="GB471"/>
      <c r="GC471"/>
      <c r="GD471"/>
      <c r="GE471"/>
      <c r="GF471"/>
      <c r="GG471"/>
      <c r="GH471"/>
      <c r="GI471"/>
      <c r="GJ471"/>
      <c r="GK471"/>
      <c r="GL471"/>
      <c r="GM471"/>
      <c r="GN471"/>
      <c r="GO471"/>
      <c r="GP471"/>
      <c r="GQ471"/>
      <c r="GR471"/>
      <c r="GS471"/>
      <c r="GT471"/>
      <c r="GU471"/>
      <c r="GV471"/>
      <c r="GW471"/>
      <c r="GX471"/>
      <c r="GY471"/>
      <c r="GZ471"/>
      <c r="HA471"/>
      <c r="HB471"/>
      <c r="HC471"/>
      <c r="HD471"/>
      <c r="HE471"/>
      <c r="HF471"/>
      <c r="HG471"/>
      <c r="HH471"/>
      <c r="HI471"/>
      <c r="HJ471"/>
      <c r="HK471"/>
      <c r="HL471"/>
      <c r="HM471"/>
      <c r="HN471"/>
      <c r="HO471"/>
      <c r="HP471"/>
      <c r="HQ471"/>
      <c r="HR471"/>
      <c r="HS471"/>
      <c r="HT471"/>
      <c r="HU471"/>
      <c r="HV471"/>
      <c r="HW471"/>
      <c r="HX471"/>
      <c r="HY471"/>
      <c r="HZ471"/>
      <c r="IA471"/>
      <c r="IB471"/>
      <c r="IC471"/>
      <c r="ID471"/>
      <c r="IE471"/>
      <c r="IF471"/>
      <c r="IG471"/>
      <c r="IH471"/>
      <c r="II471"/>
      <c r="IJ471"/>
      <c r="IK471"/>
      <c r="IL471"/>
      <c r="IM471"/>
      <c r="IN471"/>
      <c r="IO471"/>
      <c r="IP471"/>
      <c r="IQ471"/>
      <c r="IR471"/>
      <c r="IS471"/>
      <c r="IT471"/>
      <c r="IU471"/>
      <c r="IV471"/>
      <c r="IW471"/>
      <c r="IX471"/>
      <c r="IY471"/>
      <c r="IZ471"/>
      <c r="JA471"/>
      <c r="JB471"/>
      <c r="JC471"/>
      <c r="JD471"/>
      <c r="JE471"/>
      <c r="JF471"/>
      <c r="JG471"/>
      <c r="JH471"/>
      <c r="JI471"/>
      <c r="JJ471"/>
      <c r="JK471"/>
      <c r="JL471"/>
      <c r="JM471"/>
      <c r="JN471"/>
      <c r="JO471"/>
      <c r="JP471"/>
      <c r="JQ471"/>
      <c r="JR471"/>
      <c r="JS471"/>
      <c r="JT471"/>
      <c r="JU471"/>
      <c r="JV471"/>
      <c r="JW471"/>
      <c r="JX471"/>
      <c r="JY471"/>
      <c r="JZ471"/>
      <c r="KA471"/>
      <c r="KB471"/>
      <c r="KC471"/>
      <c r="KD471"/>
      <c r="KE471"/>
      <c r="KF471"/>
      <c r="KG471"/>
      <c r="KH471"/>
      <c r="KI471"/>
      <c r="KJ471"/>
      <c r="KK471"/>
      <c r="KL471"/>
      <c r="KM471"/>
      <c r="KN471"/>
      <c r="KO471"/>
      <c r="KP471"/>
      <c r="KQ471"/>
      <c r="KR471"/>
      <c r="KS471"/>
    </row>
    <row r="472" spans="2:305" hidden="1" x14ac:dyDescent="0.25">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c r="DF472"/>
      <c r="DG472"/>
      <c r="DH472"/>
      <c r="DI472"/>
      <c r="DJ472"/>
      <c r="DK472"/>
      <c r="DL472"/>
      <c r="DM472"/>
      <c r="DN472"/>
      <c r="DO472"/>
      <c r="DP472"/>
      <c r="DQ472"/>
      <c r="DR472"/>
      <c r="DS472"/>
      <c r="DT472"/>
      <c r="DU472"/>
      <c r="DV472"/>
      <c r="DW472"/>
      <c r="DX472"/>
      <c r="DY472"/>
      <c r="DZ472"/>
      <c r="EA472"/>
      <c r="EB472"/>
      <c r="EC472"/>
      <c r="ED472"/>
      <c r="EE472"/>
      <c r="EF472"/>
      <c r="EG472"/>
      <c r="EH472"/>
      <c r="EI472"/>
      <c r="EJ472"/>
      <c r="EK472"/>
      <c r="EL472"/>
      <c r="EM472"/>
      <c r="EN472"/>
      <c r="EO472"/>
      <c r="EP472"/>
      <c r="EQ472"/>
      <c r="ER472"/>
      <c r="ES472"/>
      <c r="ET472"/>
      <c r="EU472"/>
      <c r="EV472"/>
      <c r="EW472"/>
      <c r="EX472"/>
      <c r="EY472"/>
      <c r="EZ472"/>
      <c r="FA472"/>
      <c r="FB472"/>
      <c r="FC472"/>
      <c r="FD472"/>
      <c r="FE472"/>
      <c r="FF472"/>
      <c r="FG472"/>
      <c r="FH472"/>
      <c r="FI472"/>
      <c r="FJ472"/>
      <c r="FK472"/>
      <c r="FL472"/>
      <c r="FM472"/>
      <c r="FN472"/>
      <c r="FO472"/>
      <c r="FP472"/>
      <c r="FQ472"/>
      <c r="FR472"/>
      <c r="FS472"/>
      <c r="FT472"/>
      <c r="FU472"/>
      <c r="FV472"/>
      <c r="FW472"/>
      <c r="FX472"/>
      <c r="FY472"/>
      <c r="FZ472"/>
      <c r="GA472"/>
      <c r="GB472"/>
      <c r="GC472"/>
      <c r="GD472"/>
      <c r="GE472"/>
      <c r="GF472"/>
      <c r="GG472"/>
      <c r="GH472"/>
      <c r="GI472"/>
      <c r="GJ472"/>
      <c r="GK472"/>
      <c r="GL472"/>
      <c r="GM472"/>
      <c r="GN472"/>
      <c r="GO472"/>
      <c r="GP472"/>
      <c r="GQ472"/>
      <c r="GR472"/>
      <c r="GS472"/>
      <c r="GT472"/>
      <c r="GU472"/>
      <c r="GV472"/>
      <c r="GW472"/>
      <c r="GX472"/>
      <c r="GY472"/>
      <c r="GZ472"/>
      <c r="HA472"/>
      <c r="HB472"/>
      <c r="HC472"/>
      <c r="HD472"/>
      <c r="HE472"/>
      <c r="HF472"/>
      <c r="HG472"/>
      <c r="HH472"/>
      <c r="HI472"/>
      <c r="HJ472"/>
      <c r="HK472"/>
      <c r="HL472"/>
      <c r="HM472"/>
      <c r="HN472"/>
      <c r="HO472"/>
      <c r="HP472"/>
      <c r="HQ472"/>
      <c r="HR472"/>
      <c r="HS472"/>
      <c r="HT472"/>
      <c r="HU472"/>
      <c r="HV472"/>
      <c r="HW472"/>
      <c r="HX472"/>
      <c r="HY472"/>
      <c r="HZ472"/>
      <c r="IA472"/>
      <c r="IB472"/>
      <c r="IC472"/>
      <c r="ID472"/>
      <c r="IE472"/>
      <c r="IF472"/>
      <c r="IG472"/>
      <c r="IH472"/>
      <c r="II472"/>
      <c r="IJ472"/>
      <c r="IK472"/>
      <c r="IL472"/>
      <c r="IM472"/>
      <c r="IN472"/>
      <c r="IO472"/>
      <c r="IP472"/>
      <c r="IQ472"/>
      <c r="IR472"/>
      <c r="IS472"/>
      <c r="IT472"/>
      <c r="IU472"/>
      <c r="IV472"/>
      <c r="IW472"/>
      <c r="IX472"/>
      <c r="IY472"/>
      <c r="IZ472"/>
      <c r="JA472"/>
      <c r="JB472"/>
      <c r="JC472"/>
      <c r="JD472"/>
      <c r="JE472"/>
      <c r="JF472"/>
      <c r="JG472"/>
      <c r="JH472"/>
      <c r="JI472"/>
      <c r="JJ472"/>
      <c r="JK472"/>
      <c r="JL472"/>
      <c r="JM472"/>
      <c r="JN472"/>
      <c r="JO472"/>
      <c r="JP472"/>
      <c r="JQ472"/>
      <c r="JR472"/>
      <c r="JS472"/>
      <c r="JT472"/>
      <c r="JU472"/>
      <c r="JV472"/>
      <c r="JW472"/>
      <c r="JX472"/>
      <c r="JY472"/>
      <c r="JZ472"/>
      <c r="KA472"/>
      <c r="KB472"/>
      <c r="KC472"/>
      <c r="KD472"/>
      <c r="KE472"/>
      <c r="KF472"/>
      <c r="KG472"/>
      <c r="KH472"/>
      <c r="KI472"/>
      <c r="KJ472"/>
      <c r="KK472"/>
      <c r="KL472"/>
      <c r="KM472"/>
      <c r="KN472"/>
      <c r="KO472"/>
      <c r="KP472"/>
      <c r="KQ472"/>
      <c r="KR472"/>
      <c r="KS472"/>
    </row>
    <row r="473" spans="2:305" hidden="1" x14ac:dyDescent="0.25">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c r="EN473"/>
      <c r="EO473"/>
      <c r="EP473"/>
      <c r="EQ473"/>
      <c r="ER473"/>
      <c r="ES473"/>
      <c r="ET473"/>
      <c r="EU473"/>
      <c r="EV473"/>
      <c r="EW473"/>
      <c r="EX473"/>
      <c r="EY473"/>
      <c r="EZ473"/>
      <c r="FA473"/>
      <c r="FB473"/>
      <c r="FC473"/>
      <c r="FD473"/>
      <c r="FE473"/>
      <c r="FF473"/>
      <c r="FG473"/>
      <c r="FH473"/>
      <c r="FI473"/>
      <c r="FJ473"/>
      <c r="FK473"/>
      <c r="FL473"/>
      <c r="FM473"/>
      <c r="FN473"/>
      <c r="FO473"/>
      <c r="FP473"/>
      <c r="FQ473"/>
      <c r="FR473"/>
      <c r="FS473"/>
      <c r="FT473"/>
      <c r="FU473"/>
      <c r="FV473"/>
      <c r="FW473"/>
      <c r="FX473"/>
      <c r="FY473"/>
      <c r="FZ473"/>
      <c r="GA473"/>
      <c r="GB473"/>
      <c r="GC473"/>
      <c r="GD473"/>
      <c r="GE473"/>
      <c r="GF473"/>
      <c r="GG473"/>
      <c r="GH473"/>
      <c r="GI473"/>
      <c r="GJ473"/>
      <c r="GK473"/>
      <c r="GL473"/>
      <c r="GM473"/>
      <c r="GN473"/>
      <c r="GO473"/>
      <c r="GP473"/>
      <c r="GQ473"/>
      <c r="GR473"/>
      <c r="GS473"/>
      <c r="GT473"/>
      <c r="GU473"/>
      <c r="GV473"/>
      <c r="GW473"/>
      <c r="GX473"/>
      <c r="GY473"/>
      <c r="GZ473"/>
      <c r="HA473"/>
      <c r="HB473"/>
      <c r="HC473"/>
      <c r="HD473"/>
      <c r="HE473"/>
      <c r="HF473"/>
      <c r="HG473"/>
      <c r="HH473"/>
      <c r="HI473"/>
      <c r="HJ473"/>
      <c r="HK473"/>
      <c r="HL473"/>
      <c r="HM473"/>
      <c r="HN473"/>
      <c r="HO473"/>
      <c r="HP473"/>
      <c r="HQ473"/>
      <c r="HR473"/>
      <c r="HS473"/>
      <c r="HT473"/>
      <c r="HU473"/>
      <c r="HV473"/>
      <c r="HW473"/>
      <c r="HX473"/>
      <c r="HY473"/>
      <c r="HZ473"/>
      <c r="IA473"/>
      <c r="IB473"/>
      <c r="IC473"/>
      <c r="ID473"/>
      <c r="IE473"/>
      <c r="IF473"/>
      <c r="IG473"/>
      <c r="IH473"/>
      <c r="II473"/>
      <c r="IJ473"/>
      <c r="IK473"/>
      <c r="IL473"/>
      <c r="IM473"/>
      <c r="IN473"/>
      <c r="IO473"/>
      <c r="IP473"/>
      <c r="IQ473"/>
      <c r="IR473"/>
      <c r="IS473"/>
      <c r="IT473"/>
      <c r="IU473"/>
      <c r="IV473"/>
      <c r="IW473"/>
      <c r="IX473"/>
      <c r="IY473"/>
      <c r="IZ473"/>
      <c r="JA473"/>
      <c r="JB473"/>
      <c r="JC473"/>
      <c r="JD473"/>
      <c r="JE473"/>
      <c r="JF473"/>
      <c r="JG473"/>
      <c r="JH473"/>
      <c r="JI473"/>
      <c r="JJ473"/>
      <c r="JK473"/>
      <c r="JL473"/>
      <c r="JM473"/>
      <c r="JN473"/>
      <c r="JO473"/>
      <c r="JP473"/>
      <c r="JQ473"/>
      <c r="JR473"/>
      <c r="JS473"/>
      <c r="JT473"/>
      <c r="JU473"/>
      <c r="JV473"/>
      <c r="JW473"/>
      <c r="JX473"/>
      <c r="JY473"/>
      <c r="JZ473"/>
      <c r="KA473"/>
      <c r="KB473"/>
      <c r="KC473"/>
      <c r="KD473"/>
      <c r="KE473"/>
      <c r="KF473"/>
      <c r="KG473"/>
      <c r="KH473"/>
      <c r="KI473"/>
      <c r="KJ473"/>
      <c r="KK473"/>
      <c r="KL473"/>
      <c r="KM473"/>
      <c r="KN473"/>
      <c r="KO473"/>
      <c r="KP473"/>
      <c r="KQ473"/>
      <c r="KR473"/>
      <c r="KS473"/>
    </row>
    <row r="474" spans="2:305" hidden="1" x14ac:dyDescent="0.25">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c r="EN474"/>
      <c r="EO474"/>
      <c r="EP474"/>
      <c r="EQ474"/>
      <c r="ER474"/>
      <c r="ES474"/>
      <c r="ET474"/>
      <c r="EU474"/>
      <c r="EV474"/>
      <c r="EW474"/>
      <c r="EX474"/>
      <c r="EY474"/>
      <c r="EZ474"/>
      <c r="FA474"/>
      <c r="FB474"/>
      <c r="FC474"/>
      <c r="FD474"/>
      <c r="FE474"/>
      <c r="FF474"/>
      <c r="FG474"/>
      <c r="FH474"/>
      <c r="FI474"/>
      <c r="FJ474"/>
      <c r="FK474"/>
      <c r="FL474"/>
      <c r="FM474"/>
      <c r="FN474"/>
      <c r="FO474"/>
      <c r="FP474"/>
      <c r="FQ474"/>
      <c r="FR474"/>
      <c r="FS474"/>
      <c r="FT474"/>
      <c r="FU474"/>
      <c r="FV474"/>
      <c r="FW474"/>
      <c r="FX474"/>
      <c r="FY474"/>
      <c r="FZ474"/>
      <c r="GA474"/>
      <c r="GB474"/>
      <c r="GC474"/>
      <c r="GD474"/>
      <c r="GE474"/>
      <c r="GF474"/>
      <c r="GG474"/>
      <c r="GH474"/>
      <c r="GI474"/>
      <c r="GJ474"/>
      <c r="GK474"/>
      <c r="GL474"/>
      <c r="GM474"/>
      <c r="GN474"/>
      <c r="GO474"/>
      <c r="GP474"/>
      <c r="GQ474"/>
      <c r="GR474"/>
      <c r="GS474"/>
      <c r="GT474"/>
      <c r="GU474"/>
      <c r="GV474"/>
      <c r="GW474"/>
      <c r="GX474"/>
      <c r="GY474"/>
      <c r="GZ474"/>
      <c r="HA474"/>
      <c r="HB474"/>
      <c r="HC474"/>
      <c r="HD474"/>
      <c r="HE474"/>
      <c r="HF474"/>
      <c r="HG474"/>
      <c r="HH474"/>
      <c r="HI474"/>
      <c r="HJ474"/>
      <c r="HK474"/>
      <c r="HL474"/>
      <c r="HM474"/>
      <c r="HN474"/>
      <c r="HO474"/>
      <c r="HP474"/>
      <c r="HQ474"/>
      <c r="HR474"/>
      <c r="HS474"/>
      <c r="HT474"/>
      <c r="HU474"/>
      <c r="HV474"/>
      <c r="HW474"/>
      <c r="HX474"/>
      <c r="HY474"/>
      <c r="HZ474"/>
      <c r="IA474"/>
      <c r="IB474"/>
      <c r="IC474"/>
      <c r="ID474"/>
      <c r="IE474"/>
      <c r="IF474"/>
      <c r="IG474"/>
      <c r="IH474"/>
      <c r="II474"/>
      <c r="IJ474"/>
      <c r="IK474"/>
      <c r="IL474"/>
      <c r="IM474"/>
      <c r="IN474"/>
      <c r="IO474"/>
      <c r="IP474"/>
      <c r="IQ474"/>
      <c r="IR474"/>
      <c r="IS474"/>
      <c r="IT474"/>
      <c r="IU474"/>
      <c r="IV474"/>
      <c r="IW474"/>
      <c r="IX474"/>
      <c r="IY474"/>
      <c r="IZ474"/>
      <c r="JA474"/>
      <c r="JB474"/>
      <c r="JC474"/>
      <c r="JD474"/>
      <c r="JE474"/>
      <c r="JF474"/>
      <c r="JG474"/>
      <c r="JH474"/>
      <c r="JI474"/>
      <c r="JJ474"/>
      <c r="JK474"/>
      <c r="JL474"/>
      <c r="JM474"/>
      <c r="JN474"/>
      <c r="JO474"/>
      <c r="JP474"/>
      <c r="JQ474"/>
      <c r="JR474"/>
      <c r="JS474"/>
      <c r="JT474"/>
      <c r="JU474"/>
      <c r="JV474"/>
      <c r="JW474"/>
      <c r="JX474"/>
      <c r="JY474"/>
      <c r="JZ474"/>
      <c r="KA474"/>
      <c r="KB474"/>
      <c r="KC474"/>
      <c r="KD474"/>
      <c r="KE474"/>
      <c r="KF474"/>
      <c r="KG474"/>
      <c r="KH474"/>
      <c r="KI474"/>
      <c r="KJ474"/>
      <c r="KK474"/>
      <c r="KL474"/>
      <c r="KM474"/>
      <c r="KN474"/>
      <c r="KO474"/>
      <c r="KP474"/>
      <c r="KQ474"/>
      <c r="KR474"/>
      <c r="KS474"/>
    </row>
    <row r="475" spans="2:305" hidden="1" x14ac:dyDescent="0.2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c r="EN475"/>
      <c r="EO475"/>
      <c r="EP475"/>
      <c r="EQ475"/>
      <c r="ER475"/>
      <c r="ES475"/>
      <c r="ET475"/>
      <c r="EU475"/>
      <c r="EV475"/>
      <c r="EW475"/>
      <c r="EX475"/>
      <c r="EY475"/>
      <c r="EZ475"/>
      <c r="FA475"/>
      <c r="FB475"/>
      <c r="FC475"/>
      <c r="FD475"/>
      <c r="FE475"/>
      <c r="FF475"/>
      <c r="FG475"/>
      <c r="FH475"/>
      <c r="FI475"/>
      <c r="FJ475"/>
      <c r="FK475"/>
      <c r="FL475"/>
      <c r="FM475"/>
      <c r="FN475"/>
      <c r="FO475"/>
      <c r="FP475"/>
      <c r="FQ475"/>
      <c r="FR475"/>
      <c r="FS475"/>
      <c r="FT475"/>
      <c r="FU475"/>
      <c r="FV475"/>
      <c r="FW475"/>
      <c r="FX475"/>
      <c r="FY475"/>
      <c r="FZ475"/>
      <c r="GA475"/>
      <c r="GB475"/>
      <c r="GC475"/>
      <c r="GD475"/>
      <c r="GE475"/>
      <c r="GF475"/>
      <c r="GG475"/>
      <c r="GH475"/>
      <c r="GI475"/>
      <c r="GJ475"/>
      <c r="GK475"/>
      <c r="GL475"/>
      <c r="GM475"/>
      <c r="GN475"/>
      <c r="GO475"/>
      <c r="GP475"/>
      <c r="GQ475"/>
      <c r="GR475"/>
      <c r="GS475"/>
      <c r="GT475"/>
      <c r="GU475"/>
      <c r="GV475"/>
      <c r="GW475"/>
      <c r="GX475"/>
      <c r="GY475"/>
      <c r="GZ475"/>
      <c r="HA475"/>
      <c r="HB475"/>
      <c r="HC475"/>
      <c r="HD475"/>
      <c r="HE475"/>
      <c r="HF475"/>
      <c r="HG475"/>
      <c r="HH475"/>
      <c r="HI475"/>
      <c r="HJ475"/>
      <c r="HK475"/>
      <c r="HL475"/>
      <c r="HM475"/>
      <c r="HN475"/>
      <c r="HO475"/>
      <c r="HP475"/>
      <c r="HQ475"/>
      <c r="HR475"/>
      <c r="HS475"/>
      <c r="HT475"/>
      <c r="HU475"/>
      <c r="HV475"/>
      <c r="HW475"/>
      <c r="HX475"/>
      <c r="HY475"/>
      <c r="HZ475"/>
      <c r="IA475"/>
      <c r="IB475"/>
      <c r="IC475"/>
      <c r="ID475"/>
      <c r="IE475"/>
      <c r="IF475"/>
      <c r="IG475"/>
      <c r="IH475"/>
      <c r="II475"/>
      <c r="IJ475"/>
      <c r="IK475"/>
      <c r="IL475"/>
      <c r="IM475"/>
      <c r="IN475"/>
      <c r="IO475"/>
      <c r="IP475"/>
      <c r="IQ475"/>
      <c r="IR475"/>
      <c r="IS475"/>
      <c r="IT475"/>
      <c r="IU475"/>
      <c r="IV475"/>
      <c r="IW475"/>
      <c r="IX475"/>
      <c r="IY475"/>
      <c r="IZ475"/>
      <c r="JA475"/>
      <c r="JB475"/>
      <c r="JC475"/>
      <c r="JD475"/>
      <c r="JE475"/>
      <c r="JF475"/>
      <c r="JG475"/>
      <c r="JH475"/>
      <c r="JI475"/>
      <c r="JJ475"/>
      <c r="JK475"/>
      <c r="JL475"/>
      <c r="JM475"/>
      <c r="JN475"/>
      <c r="JO475"/>
      <c r="JP475"/>
      <c r="JQ475"/>
      <c r="JR475"/>
      <c r="JS475"/>
      <c r="JT475"/>
      <c r="JU475"/>
      <c r="JV475"/>
      <c r="JW475"/>
      <c r="JX475"/>
      <c r="JY475"/>
      <c r="JZ475"/>
      <c r="KA475"/>
      <c r="KB475"/>
      <c r="KC475"/>
      <c r="KD475"/>
      <c r="KE475"/>
      <c r="KF475"/>
      <c r="KG475"/>
      <c r="KH475"/>
      <c r="KI475"/>
      <c r="KJ475"/>
      <c r="KK475"/>
      <c r="KL475"/>
      <c r="KM475"/>
      <c r="KN475"/>
      <c r="KO475"/>
      <c r="KP475"/>
      <c r="KQ475"/>
      <c r="KR475"/>
      <c r="KS475"/>
    </row>
    <row r="476" spans="2:305" hidden="1" x14ac:dyDescent="0.25">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c r="EN476"/>
      <c r="EO476"/>
      <c r="EP476"/>
      <c r="EQ476"/>
      <c r="ER476"/>
      <c r="ES476"/>
      <c r="ET476"/>
      <c r="EU476"/>
      <c r="EV476"/>
      <c r="EW476"/>
      <c r="EX476"/>
      <c r="EY476"/>
      <c r="EZ476"/>
      <c r="FA476"/>
      <c r="FB476"/>
      <c r="FC476"/>
      <c r="FD476"/>
      <c r="FE476"/>
      <c r="FF476"/>
      <c r="FG476"/>
      <c r="FH476"/>
      <c r="FI476"/>
      <c r="FJ476"/>
      <c r="FK476"/>
      <c r="FL476"/>
      <c r="FM476"/>
      <c r="FN476"/>
      <c r="FO476"/>
      <c r="FP476"/>
      <c r="FQ476"/>
      <c r="FR476"/>
      <c r="FS476"/>
      <c r="FT476"/>
      <c r="FU476"/>
      <c r="FV476"/>
      <c r="FW476"/>
      <c r="FX476"/>
      <c r="FY476"/>
      <c r="FZ476"/>
      <c r="GA476"/>
      <c r="GB476"/>
      <c r="GC476"/>
      <c r="GD476"/>
      <c r="GE476"/>
      <c r="GF476"/>
      <c r="GG476"/>
      <c r="GH476"/>
      <c r="GI476"/>
      <c r="GJ476"/>
      <c r="GK476"/>
      <c r="GL476"/>
      <c r="GM476"/>
      <c r="GN476"/>
      <c r="GO476"/>
      <c r="GP476"/>
      <c r="GQ476"/>
      <c r="GR476"/>
      <c r="GS476"/>
      <c r="GT476"/>
      <c r="GU476"/>
      <c r="GV476"/>
      <c r="GW476"/>
      <c r="GX476"/>
      <c r="GY476"/>
      <c r="GZ476"/>
      <c r="HA476"/>
      <c r="HB476"/>
      <c r="HC476"/>
      <c r="HD476"/>
      <c r="HE476"/>
      <c r="HF476"/>
      <c r="HG476"/>
      <c r="HH476"/>
      <c r="HI476"/>
      <c r="HJ476"/>
      <c r="HK476"/>
      <c r="HL476"/>
      <c r="HM476"/>
      <c r="HN476"/>
      <c r="HO476"/>
      <c r="HP476"/>
      <c r="HQ476"/>
      <c r="HR476"/>
      <c r="HS476"/>
      <c r="HT476"/>
      <c r="HU476"/>
      <c r="HV476"/>
      <c r="HW476"/>
      <c r="HX476"/>
      <c r="HY476"/>
      <c r="HZ476"/>
      <c r="IA476"/>
      <c r="IB476"/>
      <c r="IC476"/>
      <c r="ID476"/>
      <c r="IE476"/>
      <c r="IF476"/>
      <c r="IG476"/>
      <c r="IH476"/>
      <c r="II476"/>
      <c r="IJ476"/>
      <c r="IK476"/>
      <c r="IL476"/>
      <c r="IM476"/>
      <c r="IN476"/>
      <c r="IO476"/>
      <c r="IP476"/>
      <c r="IQ476"/>
      <c r="IR476"/>
      <c r="IS476"/>
      <c r="IT476"/>
      <c r="IU476"/>
      <c r="IV476"/>
      <c r="IW476"/>
      <c r="IX476"/>
      <c r="IY476"/>
      <c r="IZ476"/>
      <c r="JA476"/>
      <c r="JB476"/>
      <c r="JC476"/>
      <c r="JD476"/>
      <c r="JE476"/>
      <c r="JF476"/>
      <c r="JG476"/>
      <c r="JH476"/>
      <c r="JI476"/>
      <c r="JJ476"/>
      <c r="JK476"/>
      <c r="JL476"/>
      <c r="JM476"/>
      <c r="JN476"/>
      <c r="JO476"/>
      <c r="JP476"/>
      <c r="JQ476"/>
      <c r="JR476"/>
      <c r="JS476"/>
      <c r="JT476"/>
      <c r="JU476"/>
      <c r="JV476"/>
      <c r="JW476"/>
      <c r="JX476"/>
      <c r="JY476"/>
      <c r="JZ476"/>
      <c r="KA476"/>
      <c r="KB476"/>
      <c r="KC476"/>
      <c r="KD476"/>
      <c r="KE476"/>
      <c r="KF476"/>
      <c r="KG476"/>
      <c r="KH476"/>
      <c r="KI476"/>
      <c r="KJ476"/>
      <c r="KK476"/>
      <c r="KL476"/>
      <c r="KM476"/>
      <c r="KN476"/>
      <c r="KO476"/>
      <c r="KP476"/>
      <c r="KQ476"/>
      <c r="KR476"/>
      <c r="KS476"/>
    </row>
    <row r="477" spans="2:305" hidden="1" x14ac:dyDescent="0.25">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c r="EN477"/>
      <c r="EO477"/>
      <c r="EP477"/>
      <c r="EQ477"/>
      <c r="ER477"/>
      <c r="ES477"/>
      <c r="ET477"/>
      <c r="EU477"/>
      <c r="EV477"/>
      <c r="EW477"/>
      <c r="EX477"/>
      <c r="EY477"/>
      <c r="EZ477"/>
      <c r="FA477"/>
      <c r="FB477"/>
      <c r="FC477"/>
      <c r="FD477"/>
      <c r="FE477"/>
      <c r="FF477"/>
      <c r="FG477"/>
      <c r="FH477"/>
      <c r="FI477"/>
      <c r="FJ477"/>
      <c r="FK477"/>
      <c r="FL477"/>
      <c r="FM477"/>
      <c r="FN477"/>
      <c r="FO477"/>
      <c r="FP477"/>
      <c r="FQ477"/>
      <c r="FR477"/>
      <c r="FS477"/>
      <c r="FT477"/>
      <c r="FU477"/>
      <c r="FV477"/>
      <c r="FW477"/>
      <c r="FX477"/>
      <c r="FY477"/>
      <c r="FZ477"/>
      <c r="GA477"/>
      <c r="GB477"/>
      <c r="GC477"/>
      <c r="GD477"/>
      <c r="GE477"/>
      <c r="GF477"/>
      <c r="GG477"/>
      <c r="GH477"/>
      <c r="GI477"/>
      <c r="GJ477"/>
      <c r="GK477"/>
      <c r="GL477"/>
      <c r="GM477"/>
      <c r="GN477"/>
      <c r="GO477"/>
      <c r="GP477"/>
      <c r="GQ477"/>
      <c r="GR477"/>
      <c r="GS477"/>
      <c r="GT477"/>
      <c r="GU477"/>
      <c r="GV477"/>
      <c r="GW477"/>
      <c r="GX477"/>
      <c r="GY477"/>
      <c r="GZ477"/>
      <c r="HA477"/>
      <c r="HB477"/>
      <c r="HC477"/>
      <c r="HD477"/>
      <c r="HE477"/>
      <c r="HF477"/>
      <c r="HG477"/>
      <c r="HH477"/>
      <c r="HI477"/>
      <c r="HJ477"/>
      <c r="HK477"/>
      <c r="HL477"/>
      <c r="HM477"/>
      <c r="HN477"/>
      <c r="HO477"/>
      <c r="HP477"/>
      <c r="HQ477"/>
      <c r="HR477"/>
      <c r="HS477"/>
      <c r="HT477"/>
      <c r="HU477"/>
      <c r="HV477"/>
      <c r="HW477"/>
      <c r="HX477"/>
      <c r="HY477"/>
      <c r="HZ477"/>
      <c r="IA477"/>
      <c r="IB477"/>
      <c r="IC477"/>
      <c r="ID477"/>
      <c r="IE477"/>
      <c r="IF477"/>
      <c r="IG477"/>
      <c r="IH477"/>
      <c r="II477"/>
      <c r="IJ477"/>
      <c r="IK477"/>
      <c r="IL477"/>
      <c r="IM477"/>
      <c r="IN477"/>
      <c r="IO477"/>
      <c r="IP477"/>
      <c r="IQ477"/>
      <c r="IR477"/>
      <c r="IS477"/>
      <c r="IT477"/>
      <c r="IU477"/>
      <c r="IV477"/>
      <c r="IW477"/>
      <c r="IX477"/>
      <c r="IY477"/>
      <c r="IZ477"/>
      <c r="JA477"/>
      <c r="JB477"/>
      <c r="JC477"/>
      <c r="JD477"/>
      <c r="JE477"/>
      <c r="JF477"/>
      <c r="JG477"/>
      <c r="JH477"/>
      <c r="JI477"/>
      <c r="JJ477"/>
      <c r="JK477"/>
      <c r="JL477"/>
      <c r="JM477"/>
      <c r="JN477"/>
      <c r="JO477"/>
      <c r="JP477"/>
      <c r="JQ477"/>
      <c r="JR477"/>
      <c r="JS477"/>
      <c r="JT477"/>
      <c r="JU477"/>
      <c r="JV477"/>
      <c r="JW477"/>
      <c r="JX477"/>
      <c r="JY477"/>
      <c r="JZ477"/>
      <c r="KA477"/>
      <c r="KB477"/>
      <c r="KC477"/>
      <c r="KD477"/>
      <c r="KE477"/>
      <c r="KF477"/>
      <c r="KG477"/>
      <c r="KH477"/>
      <c r="KI477"/>
      <c r="KJ477"/>
      <c r="KK477"/>
      <c r="KL477"/>
      <c r="KM477"/>
      <c r="KN477"/>
      <c r="KO477"/>
      <c r="KP477"/>
      <c r="KQ477"/>
      <c r="KR477"/>
      <c r="KS477"/>
    </row>
    <row r="478" spans="2:305" hidden="1" x14ac:dyDescent="0.25">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c r="EN478"/>
      <c r="EO478"/>
      <c r="EP478"/>
      <c r="EQ478"/>
      <c r="ER478"/>
      <c r="ES478"/>
      <c r="ET478"/>
      <c r="EU478"/>
      <c r="EV478"/>
      <c r="EW478"/>
      <c r="EX478"/>
      <c r="EY478"/>
      <c r="EZ478"/>
      <c r="FA478"/>
      <c r="FB478"/>
      <c r="FC478"/>
      <c r="FD478"/>
      <c r="FE478"/>
      <c r="FF478"/>
      <c r="FG478"/>
      <c r="FH478"/>
      <c r="FI478"/>
      <c r="FJ478"/>
      <c r="FK478"/>
      <c r="FL478"/>
      <c r="FM478"/>
      <c r="FN478"/>
      <c r="FO478"/>
      <c r="FP478"/>
      <c r="FQ478"/>
      <c r="FR478"/>
      <c r="FS478"/>
      <c r="FT478"/>
      <c r="FU478"/>
      <c r="FV478"/>
      <c r="FW478"/>
      <c r="FX478"/>
      <c r="FY478"/>
      <c r="FZ478"/>
      <c r="GA478"/>
      <c r="GB478"/>
      <c r="GC478"/>
      <c r="GD478"/>
      <c r="GE478"/>
      <c r="GF478"/>
      <c r="GG478"/>
      <c r="GH478"/>
      <c r="GI478"/>
      <c r="GJ478"/>
      <c r="GK478"/>
      <c r="GL478"/>
      <c r="GM478"/>
      <c r="GN478"/>
      <c r="GO478"/>
      <c r="GP478"/>
      <c r="GQ478"/>
      <c r="GR478"/>
      <c r="GS478"/>
      <c r="GT478"/>
      <c r="GU478"/>
      <c r="GV478"/>
      <c r="GW478"/>
      <c r="GX478"/>
      <c r="GY478"/>
      <c r="GZ478"/>
      <c r="HA478"/>
      <c r="HB478"/>
      <c r="HC478"/>
      <c r="HD478"/>
      <c r="HE478"/>
      <c r="HF478"/>
      <c r="HG478"/>
      <c r="HH478"/>
      <c r="HI478"/>
      <c r="HJ478"/>
      <c r="HK478"/>
      <c r="HL478"/>
      <c r="HM478"/>
      <c r="HN478"/>
      <c r="HO478"/>
      <c r="HP478"/>
      <c r="HQ478"/>
      <c r="HR478"/>
      <c r="HS478"/>
      <c r="HT478"/>
      <c r="HU478"/>
      <c r="HV478"/>
      <c r="HW478"/>
      <c r="HX478"/>
      <c r="HY478"/>
      <c r="HZ478"/>
      <c r="IA478"/>
      <c r="IB478"/>
      <c r="IC478"/>
      <c r="ID478"/>
      <c r="IE478"/>
      <c r="IF478"/>
      <c r="IG478"/>
      <c r="IH478"/>
      <c r="II478"/>
      <c r="IJ478"/>
      <c r="IK478"/>
      <c r="IL478"/>
      <c r="IM478"/>
      <c r="IN478"/>
      <c r="IO478"/>
      <c r="IP478"/>
      <c r="IQ478"/>
      <c r="IR478"/>
      <c r="IS478"/>
      <c r="IT478"/>
      <c r="IU478"/>
      <c r="IV478"/>
      <c r="IW478"/>
      <c r="IX478"/>
      <c r="IY478"/>
      <c r="IZ478"/>
      <c r="JA478"/>
      <c r="JB478"/>
      <c r="JC478"/>
      <c r="JD478"/>
      <c r="JE478"/>
      <c r="JF478"/>
      <c r="JG478"/>
      <c r="JH478"/>
      <c r="JI478"/>
      <c r="JJ478"/>
      <c r="JK478"/>
      <c r="JL478"/>
      <c r="JM478"/>
      <c r="JN478"/>
      <c r="JO478"/>
      <c r="JP478"/>
      <c r="JQ478"/>
      <c r="JR478"/>
      <c r="JS478"/>
      <c r="JT478"/>
      <c r="JU478"/>
      <c r="JV478"/>
      <c r="JW478"/>
      <c r="JX478"/>
      <c r="JY478"/>
      <c r="JZ478"/>
      <c r="KA478"/>
      <c r="KB478"/>
      <c r="KC478"/>
      <c r="KD478"/>
      <c r="KE478"/>
      <c r="KF478"/>
      <c r="KG478"/>
      <c r="KH478"/>
      <c r="KI478"/>
      <c r="KJ478"/>
      <c r="KK478"/>
      <c r="KL478"/>
      <c r="KM478"/>
      <c r="KN478"/>
      <c r="KO478"/>
      <c r="KP478"/>
      <c r="KQ478"/>
      <c r="KR478"/>
      <c r="KS478"/>
    </row>
    <row r="479" spans="2:305" hidden="1" x14ac:dyDescent="0.25">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c r="EN479"/>
      <c r="EO479"/>
      <c r="EP479"/>
      <c r="EQ479"/>
      <c r="ER479"/>
      <c r="ES479"/>
      <c r="ET479"/>
      <c r="EU479"/>
      <c r="EV479"/>
      <c r="EW479"/>
      <c r="EX479"/>
      <c r="EY479"/>
      <c r="EZ479"/>
      <c r="FA479"/>
      <c r="FB479"/>
      <c r="FC479"/>
      <c r="FD479"/>
      <c r="FE479"/>
      <c r="FF479"/>
      <c r="FG479"/>
      <c r="FH479"/>
      <c r="FI479"/>
      <c r="FJ479"/>
      <c r="FK479"/>
      <c r="FL479"/>
      <c r="FM479"/>
      <c r="FN479"/>
      <c r="FO479"/>
      <c r="FP479"/>
      <c r="FQ479"/>
      <c r="FR479"/>
      <c r="FS479"/>
      <c r="FT479"/>
      <c r="FU479"/>
      <c r="FV479"/>
      <c r="FW479"/>
      <c r="FX479"/>
      <c r="FY479"/>
      <c r="FZ479"/>
      <c r="GA479"/>
      <c r="GB479"/>
      <c r="GC479"/>
      <c r="GD479"/>
      <c r="GE479"/>
      <c r="GF479"/>
      <c r="GG479"/>
      <c r="GH479"/>
      <c r="GI479"/>
      <c r="GJ479"/>
      <c r="GK479"/>
      <c r="GL479"/>
      <c r="GM479"/>
      <c r="GN479"/>
      <c r="GO479"/>
      <c r="GP479"/>
      <c r="GQ479"/>
      <c r="GR479"/>
      <c r="GS479"/>
      <c r="GT479"/>
      <c r="GU479"/>
      <c r="GV479"/>
      <c r="GW479"/>
      <c r="GX479"/>
      <c r="GY479"/>
      <c r="GZ479"/>
      <c r="HA479"/>
      <c r="HB479"/>
      <c r="HC479"/>
      <c r="HD479"/>
      <c r="HE479"/>
      <c r="HF479"/>
      <c r="HG479"/>
      <c r="HH479"/>
      <c r="HI479"/>
      <c r="HJ479"/>
      <c r="HK479"/>
      <c r="HL479"/>
      <c r="HM479"/>
      <c r="HN479"/>
      <c r="HO479"/>
      <c r="HP479"/>
      <c r="HQ479"/>
      <c r="HR479"/>
      <c r="HS479"/>
      <c r="HT479"/>
      <c r="HU479"/>
      <c r="HV479"/>
      <c r="HW479"/>
      <c r="HX479"/>
      <c r="HY479"/>
      <c r="HZ479"/>
      <c r="IA479"/>
      <c r="IB479"/>
      <c r="IC479"/>
      <c r="ID479"/>
      <c r="IE479"/>
      <c r="IF479"/>
      <c r="IG479"/>
      <c r="IH479"/>
      <c r="II479"/>
      <c r="IJ479"/>
      <c r="IK479"/>
      <c r="IL479"/>
      <c r="IM479"/>
      <c r="IN479"/>
      <c r="IO479"/>
      <c r="IP479"/>
      <c r="IQ479"/>
      <c r="IR479"/>
      <c r="IS479"/>
      <c r="IT479"/>
      <c r="IU479"/>
      <c r="IV479"/>
      <c r="IW479"/>
      <c r="IX479"/>
      <c r="IY479"/>
      <c r="IZ479"/>
      <c r="JA479"/>
      <c r="JB479"/>
      <c r="JC479"/>
      <c r="JD479"/>
      <c r="JE479"/>
      <c r="JF479"/>
      <c r="JG479"/>
      <c r="JH479"/>
      <c r="JI479"/>
      <c r="JJ479"/>
      <c r="JK479"/>
      <c r="JL479"/>
      <c r="JM479"/>
      <c r="JN479"/>
      <c r="JO479"/>
      <c r="JP479"/>
      <c r="JQ479"/>
      <c r="JR479"/>
      <c r="JS479"/>
      <c r="JT479"/>
      <c r="JU479"/>
      <c r="JV479"/>
      <c r="JW479"/>
      <c r="JX479"/>
      <c r="JY479"/>
      <c r="JZ479"/>
      <c r="KA479"/>
      <c r="KB479"/>
      <c r="KC479"/>
      <c r="KD479"/>
      <c r="KE479"/>
      <c r="KF479"/>
      <c r="KG479"/>
      <c r="KH479"/>
      <c r="KI479"/>
      <c r="KJ479"/>
      <c r="KK479"/>
      <c r="KL479"/>
      <c r="KM479"/>
      <c r="KN479"/>
      <c r="KO479"/>
      <c r="KP479"/>
      <c r="KQ479"/>
      <c r="KR479"/>
      <c r="KS479"/>
    </row>
    <row r="480" spans="2:305" hidden="1" x14ac:dyDescent="0.25">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c r="EN480"/>
      <c r="EO480"/>
      <c r="EP480"/>
      <c r="EQ480"/>
      <c r="ER480"/>
      <c r="ES480"/>
      <c r="ET480"/>
      <c r="EU480"/>
      <c r="EV480"/>
      <c r="EW480"/>
      <c r="EX480"/>
      <c r="EY480"/>
      <c r="EZ480"/>
      <c r="FA480"/>
      <c r="FB480"/>
      <c r="FC480"/>
      <c r="FD480"/>
      <c r="FE480"/>
      <c r="FF480"/>
      <c r="FG480"/>
      <c r="FH480"/>
      <c r="FI480"/>
      <c r="FJ480"/>
      <c r="FK480"/>
      <c r="FL480"/>
      <c r="FM480"/>
      <c r="FN480"/>
      <c r="FO480"/>
      <c r="FP480"/>
      <c r="FQ480"/>
      <c r="FR480"/>
      <c r="FS480"/>
      <c r="FT480"/>
      <c r="FU480"/>
      <c r="FV480"/>
      <c r="FW480"/>
      <c r="FX480"/>
      <c r="FY480"/>
      <c r="FZ480"/>
      <c r="GA480"/>
      <c r="GB480"/>
      <c r="GC480"/>
      <c r="GD480"/>
      <c r="GE480"/>
      <c r="GF480"/>
      <c r="GG480"/>
      <c r="GH480"/>
      <c r="GI480"/>
      <c r="GJ480"/>
      <c r="GK480"/>
      <c r="GL480"/>
      <c r="GM480"/>
      <c r="GN480"/>
      <c r="GO480"/>
      <c r="GP480"/>
      <c r="GQ480"/>
      <c r="GR480"/>
      <c r="GS480"/>
      <c r="GT480"/>
      <c r="GU480"/>
      <c r="GV480"/>
      <c r="GW480"/>
      <c r="GX480"/>
      <c r="GY480"/>
      <c r="GZ480"/>
      <c r="HA480"/>
      <c r="HB480"/>
      <c r="HC480"/>
      <c r="HD480"/>
      <c r="HE480"/>
      <c r="HF480"/>
      <c r="HG480"/>
      <c r="HH480"/>
      <c r="HI480"/>
      <c r="HJ480"/>
      <c r="HK480"/>
      <c r="HL480"/>
      <c r="HM480"/>
      <c r="HN480"/>
      <c r="HO480"/>
      <c r="HP480"/>
      <c r="HQ480"/>
      <c r="HR480"/>
      <c r="HS480"/>
      <c r="HT480"/>
      <c r="HU480"/>
      <c r="HV480"/>
      <c r="HW480"/>
      <c r="HX480"/>
      <c r="HY480"/>
      <c r="HZ480"/>
      <c r="IA480"/>
      <c r="IB480"/>
      <c r="IC480"/>
      <c r="ID480"/>
      <c r="IE480"/>
      <c r="IF480"/>
      <c r="IG480"/>
      <c r="IH480"/>
      <c r="II480"/>
      <c r="IJ480"/>
      <c r="IK480"/>
      <c r="IL480"/>
      <c r="IM480"/>
      <c r="IN480"/>
      <c r="IO480"/>
      <c r="IP480"/>
      <c r="IQ480"/>
      <c r="IR480"/>
      <c r="IS480"/>
      <c r="IT480"/>
      <c r="IU480"/>
      <c r="IV480"/>
      <c r="IW480"/>
      <c r="IX480"/>
      <c r="IY480"/>
      <c r="IZ480"/>
      <c r="JA480"/>
      <c r="JB480"/>
      <c r="JC480"/>
      <c r="JD480"/>
      <c r="JE480"/>
      <c r="JF480"/>
      <c r="JG480"/>
      <c r="JH480"/>
      <c r="JI480"/>
      <c r="JJ480"/>
      <c r="JK480"/>
      <c r="JL480"/>
      <c r="JM480"/>
      <c r="JN480"/>
      <c r="JO480"/>
      <c r="JP480"/>
      <c r="JQ480"/>
      <c r="JR480"/>
      <c r="JS480"/>
      <c r="JT480"/>
      <c r="JU480"/>
      <c r="JV480"/>
      <c r="JW480"/>
      <c r="JX480"/>
      <c r="JY480"/>
      <c r="JZ480"/>
      <c r="KA480"/>
      <c r="KB480"/>
      <c r="KC480"/>
      <c r="KD480"/>
      <c r="KE480"/>
      <c r="KF480"/>
      <c r="KG480"/>
      <c r="KH480"/>
      <c r="KI480"/>
      <c r="KJ480"/>
      <c r="KK480"/>
      <c r="KL480"/>
      <c r="KM480"/>
      <c r="KN480"/>
      <c r="KO480"/>
      <c r="KP480"/>
      <c r="KQ480"/>
      <c r="KR480"/>
      <c r="KS480"/>
    </row>
    <row r="481" spans="2:305" hidden="1" x14ac:dyDescent="0.25">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c r="EN481"/>
      <c r="EO481"/>
      <c r="EP481"/>
      <c r="EQ481"/>
      <c r="ER481"/>
      <c r="ES481"/>
      <c r="ET481"/>
      <c r="EU481"/>
      <c r="EV481"/>
      <c r="EW481"/>
      <c r="EX481"/>
      <c r="EY481"/>
      <c r="EZ481"/>
      <c r="FA481"/>
      <c r="FB481"/>
      <c r="FC481"/>
      <c r="FD481"/>
      <c r="FE481"/>
      <c r="FF481"/>
      <c r="FG481"/>
      <c r="FH481"/>
      <c r="FI481"/>
      <c r="FJ481"/>
      <c r="FK481"/>
      <c r="FL481"/>
      <c r="FM481"/>
      <c r="FN481"/>
      <c r="FO481"/>
      <c r="FP481"/>
      <c r="FQ481"/>
      <c r="FR481"/>
      <c r="FS481"/>
      <c r="FT481"/>
      <c r="FU481"/>
      <c r="FV481"/>
      <c r="FW481"/>
      <c r="FX481"/>
      <c r="FY481"/>
      <c r="FZ481"/>
      <c r="GA481"/>
      <c r="GB481"/>
      <c r="GC481"/>
      <c r="GD481"/>
      <c r="GE481"/>
      <c r="GF481"/>
      <c r="GG481"/>
      <c r="GH481"/>
      <c r="GI481"/>
      <c r="GJ481"/>
      <c r="GK481"/>
      <c r="GL481"/>
      <c r="GM481"/>
      <c r="GN481"/>
      <c r="GO481"/>
      <c r="GP481"/>
      <c r="GQ481"/>
      <c r="GR481"/>
      <c r="GS481"/>
      <c r="GT481"/>
      <c r="GU481"/>
      <c r="GV481"/>
      <c r="GW481"/>
      <c r="GX481"/>
      <c r="GY481"/>
      <c r="GZ481"/>
      <c r="HA481"/>
      <c r="HB481"/>
      <c r="HC481"/>
      <c r="HD481"/>
      <c r="HE481"/>
      <c r="HF481"/>
      <c r="HG481"/>
      <c r="HH481"/>
      <c r="HI481"/>
      <c r="HJ481"/>
      <c r="HK481"/>
      <c r="HL481"/>
      <c r="HM481"/>
      <c r="HN481"/>
      <c r="HO481"/>
      <c r="HP481"/>
      <c r="HQ481"/>
      <c r="HR481"/>
      <c r="HS481"/>
      <c r="HT481"/>
      <c r="HU481"/>
      <c r="HV481"/>
      <c r="HW481"/>
      <c r="HX481"/>
      <c r="HY481"/>
      <c r="HZ481"/>
      <c r="IA481"/>
      <c r="IB481"/>
      <c r="IC481"/>
      <c r="ID481"/>
      <c r="IE481"/>
      <c r="IF481"/>
      <c r="IG481"/>
      <c r="IH481"/>
      <c r="II481"/>
      <c r="IJ481"/>
      <c r="IK481"/>
      <c r="IL481"/>
      <c r="IM481"/>
      <c r="IN481"/>
      <c r="IO481"/>
      <c r="IP481"/>
      <c r="IQ481"/>
      <c r="IR481"/>
      <c r="IS481"/>
      <c r="IT481"/>
      <c r="IU481"/>
      <c r="IV481"/>
      <c r="IW481"/>
      <c r="IX481"/>
      <c r="IY481"/>
      <c r="IZ481"/>
      <c r="JA481"/>
      <c r="JB481"/>
      <c r="JC481"/>
      <c r="JD481"/>
      <c r="JE481"/>
      <c r="JF481"/>
      <c r="JG481"/>
      <c r="JH481"/>
      <c r="JI481"/>
      <c r="JJ481"/>
      <c r="JK481"/>
      <c r="JL481"/>
      <c r="JM481"/>
      <c r="JN481"/>
      <c r="JO481"/>
      <c r="JP481"/>
      <c r="JQ481"/>
      <c r="JR481"/>
      <c r="JS481"/>
      <c r="JT481"/>
      <c r="JU481"/>
      <c r="JV481"/>
      <c r="JW481"/>
      <c r="JX481"/>
      <c r="JY481"/>
      <c r="JZ481"/>
      <c r="KA481"/>
      <c r="KB481"/>
      <c r="KC481"/>
      <c r="KD481"/>
      <c r="KE481"/>
      <c r="KF481"/>
      <c r="KG481"/>
      <c r="KH481"/>
      <c r="KI481"/>
      <c r="KJ481"/>
      <c r="KK481"/>
      <c r="KL481"/>
      <c r="KM481"/>
      <c r="KN481"/>
      <c r="KO481"/>
      <c r="KP481"/>
      <c r="KQ481"/>
      <c r="KR481"/>
      <c r="KS481"/>
    </row>
    <row r="482" spans="2:305" hidden="1" x14ac:dyDescent="0.25">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c r="EN482"/>
      <c r="EO482"/>
      <c r="EP482"/>
      <c r="EQ482"/>
      <c r="ER482"/>
      <c r="ES482"/>
      <c r="ET482"/>
      <c r="EU482"/>
      <c r="EV482"/>
      <c r="EW482"/>
      <c r="EX482"/>
      <c r="EY482"/>
      <c r="EZ482"/>
      <c r="FA482"/>
      <c r="FB482"/>
      <c r="FC482"/>
      <c r="FD482"/>
      <c r="FE482"/>
      <c r="FF482"/>
      <c r="FG482"/>
      <c r="FH482"/>
      <c r="FI482"/>
      <c r="FJ482"/>
      <c r="FK482"/>
      <c r="FL482"/>
      <c r="FM482"/>
      <c r="FN482"/>
      <c r="FO482"/>
      <c r="FP482"/>
      <c r="FQ482"/>
      <c r="FR482"/>
      <c r="FS482"/>
      <c r="FT482"/>
      <c r="FU482"/>
      <c r="FV482"/>
      <c r="FW482"/>
      <c r="FX482"/>
      <c r="FY482"/>
      <c r="FZ482"/>
      <c r="GA482"/>
      <c r="GB482"/>
      <c r="GC482"/>
      <c r="GD482"/>
      <c r="GE482"/>
      <c r="GF482"/>
      <c r="GG482"/>
      <c r="GH482"/>
      <c r="GI482"/>
      <c r="GJ482"/>
      <c r="GK482"/>
      <c r="GL482"/>
      <c r="GM482"/>
      <c r="GN482"/>
      <c r="GO482"/>
      <c r="GP482"/>
      <c r="GQ482"/>
      <c r="GR482"/>
      <c r="GS482"/>
      <c r="GT482"/>
      <c r="GU482"/>
      <c r="GV482"/>
      <c r="GW482"/>
      <c r="GX482"/>
      <c r="GY482"/>
      <c r="GZ482"/>
      <c r="HA482"/>
      <c r="HB482"/>
      <c r="HC482"/>
      <c r="HD482"/>
      <c r="HE482"/>
      <c r="HF482"/>
      <c r="HG482"/>
      <c r="HH482"/>
      <c r="HI482"/>
      <c r="HJ482"/>
      <c r="HK482"/>
      <c r="HL482"/>
      <c r="HM482"/>
      <c r="HN482"/>
      <c r="HO482"/>
      <c r="HP482"/>
      <c r="HQ482"/>
      <c r="HR482"/>
      <c r="HS482"/>
      <c r="HT482"/>
      <c r="HU482"/>
      <c r="HV482"/>
      <c r="HW482"/>
      <c r="HX482"/>
      <c r="HY482"/>
      <c r="HZ482"/>
      <c r="IA482"/>
      <c r="IB482"/>
      <c r="IC482"/>
      <c r="ID482"/>
      <c r="IE482"/>
      <c r="IF482"/>
      <c r="IG482"/>
      <c r="IH482"/>
      <c r="II482"/>
      <c r="IJ482"/>
      <c r="IK482"/>
      <c r="IL482"/>
      <c r="IM482"/>
      <c r="IN482"/>
      <c r="IO482"/>
      <c r="IP482"/>
      <c r="IQ482"/>
      <c r="IR482"/>
      <c r="IS482"/>
      <c r="IT482"/>
      <c r="IU482"/>
      <c r="IV482"/>
      <c r="IW482"/>
      <c r="IX482"/>
      <c r="IY482"/>
      <c r="IZ482"/>
      <c r="JA482"/>
      <c r="JB482"/>
      <c r="JC482"/>
      <c r="JD482"/>
      <c r="JE482"/>
      <c r="JF482"/>
      <c r="JG482"/>
      <c r="JH482"/>
      <c r="JI482"/>
      <c r="JJ482"/>
      <c r="JK482"/>
      <c r="JL482"/>
      <c r="JM482"/>
      <c r="JN482"/>
      <c r="JO482"/>
      <c r="JP482"/>
      <c r="JQ482"/>
      <c r="JR482"/>
      <c r="JS482"/>
      <c r="JT482"/>
      <c r="JU482"/>
      <c r="JV482"/>
      <c r="JW482"/>
      <c r="JX482"/>
      <c r="JY482"/>
      <c r="JZ482"/>
      <c r="KA482"/>
      <c r="KB482"/>
      <c r="KC482"/>
      <c r="KD482"/>
      <c r="KE482"/>
      <c r="KF482"/>
      <c r="KG482"/>
      <c r="KH482"/>
      <c r="KI482"/>
      <c r="KJ482"/>
      <c r="KK482"/>
      <c r="KL482"/>
      <c r="KM482"/>
      <c r="KN482"/>
      <c r="KO482"/>
      <c r="KP482"/>
      <c r="KQ482"/>
      <c r="KR482"/>
      <c r="KS482"/>
    </row>
    <row r="483" spans="2:305" hidden="1" x14ac:dyDescent="0.25">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c r="EN483"/>
      <c r="EO483"/>
      <c r="EP483"/>
      <c r="EQ483"/>
      <c r="ER483"/>
      <c r="ES483"/>
      <c r="ET483"/>
      <c r="EU483"/>
      <c r="EV483"/>
      <c r="EW483"/>
      <c r="EX483"/>
      <c r="EY483"/>
      <c r="EZ483"/>
      <c r="FA483"/>
      <c r="FB483"/>
      <c r="FC483"/>
      <c r="FD483"/>
      <c r="FE483"/>
      <c r="FF483"/>
      <c r="FG483"/>
      <c r="FH483"/>
      <c r="FI483"/>
      <c r="FJ483"/>
      <c r="FK483"/>
      <c r="FL483"/>
      <c r="FM483"/>
      <c r="FN483"/>
      <c r="FO483"/>
      <c r="FP483"/>
      <c r="FQ483"/>
      <c r="FR483"/>
      <c r="FS483"/>
      <c r="FT483"/>
      <c r="FU483"/>
      <c r="FV483"/>
      <c r="FW483"/>
      <c r="FX483"/>
      <c r="FY483"/>
      <c r="FZ483"/>
      <c r="GA483"/>
      <c r="GB483"/>
      <c r="GC483"/>
      <c r="GD483"/>
      <c r="GE483"/>
      <c r="GF483"/>
      <c r="GG483"/>
      <c r="GH483"/>
      <c r="GI483"/>
      <c r="GJ483"/>
      <c r="GK483"/>
      <c r="GL483"/>
      <c r="GM483"/>
      <c r="GN483"/>
      <c r="GO483"/>
      <c r="GP483"/>
      <c r="GQ483"/>
      <c r="GR483"/>
      <c r="GS483"/>
      <c r="GT483"/>
      <c r="GU483"/>
      <c r="GV483"/>
      <c r="GW483"/>
      <c r="GX483"/>
      <c r="GY483"/>
      <c r="GZ483"/>
      <c r="HA483"/>
      <c r="HB483"/>
      <c r="HC483"/>
      <c r="HD483"/>
      <c r="HE483"/>
      <c r="HF483"/>
      <c r="HG483"/>
      <c r="HH483"/>
      <c r="HI483"/>
      <c r="HJ483"/>
      <c r="HK483"/>
      <c r="HL483"/>
      <c r="HM483"/>
      <c r="HN483"/>
      <c r="HO483"/>
      <c r="HP483"/>
      <c r="HQ483"/>
      <c r="HR483"/>
      <c r="HS483"/>
      <c r="HT483"/>
      <c r="HU483"/>
      <c r="HV483"/>
      <c r="HW483"/>
      <c r="HX483"/>
      <c r="HY483"/>
      <c r="HZ483"/>
      <c r="IA483"/>
      <c r="IB483"/>
      <c r="IC483"/>
      <c r="ID483"/>
      <c r="IE483"/>
      <c r="IF483"/>
      <c r="IG483"/>
      <c r="IH483"/>
      <c r="II483"/>
      <c r="IJ483"/>
      <c r="IK483"/>
      <c r="IL483"/>
      <c r="IM483"/>
      <c r="IN483"/>
      <c r="IO483"/>
      <c r="IP483"/>
      <c r="IQ483"/>
      <c r="IR483"/>
      <c r="IS483"/>
      <c r="IT483"/>
      <c r="IU483"/>
      <c r="IV483"/>
      <c r="IW483"/>
      <c r="IX483"/>
      <c r="IY483"/>
      <c r="IZ483"/>
      <c r="JA483"/>
      <c r="JB483"/>
      <c r="JC483"/>
      <c r="JD483"/>
      <c r="JE483"/>
      <c r="JF483"/>
      <c r="JG483"/>
      <c r="JH483"/>
      <c r="JI483"/>
      <c r="JJ483"/>
      <c r="JK483"/>
      <c r="JL483"/>
      <c r="JM483"/>
      <c r="JN483"/>
      <c r="JO483"/>
      <c r="JP483"/>
      <c r="JQ483"/>
      <c r="JR483"/>
      <c r="JS483"/>
      <c r="JT483"/>
      <c r="JU483"/>
      <c r="JV483"/>
      <c r="JW483"/>
      <c r="JX483"/>
      <c r="JY483"/>
      <c r="JZ483"/>
      <c r="KA483"/>
      <c r="KB483"/>
      <c r="KC483"/>
      <c r="KD483"/>
      <c r="KE483"/>
      <c r="KF483"/>
      <c r="KG483"/>
      <c r="KH483"/>
      <c r="KI483"/>
      <c r="KJ483"/>
      <c r="KK483"/>
      <c r="KL483"/>
      <c r="KM483"/>
      <c r="KN483"/>
      <c r="KO483"/>
      <c r="KP483"/>
      <c r="KQ483"/>
      <c r="KR483"/>
      <c r="KS483"/>
    </row>
    <row r="484" spans="2:305" hidden="1" x14ac:dyDescent="0.25">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c r="EN484"/>
      <c r="EO484"/>
      <c r="EP484"/>
      <c r="EQ484"/>
      <c r="ER484"/>
      <c r="ES484"/>
      <c r="ET484"/>
      <c r="EU484"/>
      <c r="EV484"/>
      <c r="EW484"/>
      <c r="EX484"/>
      <c r="EY484"/>
      <c r="EZ484"/>
      <c r="FA484"/>
      <c r="FB484"/>
      <c r="FC484"/>
      <c r="FD484"/>
      <c r="FE484"/>
      <c r="FF484"/>
      <c r="FG484"/>
      <c r="FH484"/>
      <c r="FI484"/>
      <c r="FJ484"/>
      <c r="FK484"/>
      <c r="FL484"/>
      <c r="FM484"/>
      <c r="FN484"/>
      <c r="FO484"/>
      <c r="FP484"/>
      <c r="FQ484"/>
      <c r="FR484"/>
      <c r="FS484"/>
      <c r="FT484"/>
      <c r="FU484"/>
      <c r="FV484"/>
      <c r="FW484"/>
      <c r="FX484"/>
      <c r="FY484"/>
      <c r="FZ484"/>
      <c r="GA484"/>
      <c r="GB484"/>
      <c r="GC484"/>
      <c r="GD484"/>
      <c r="GE484"/>
      <c r="GF484"/>
      <c r="GG484"/>
      <c r="GH484"/>
      <c r="GI484"/>
      <c r="GJ484"/>
      <c r="GK484"/>
      <c r="GL484"/>
      <c r="GM484"/>
      <c r="GN484"/>
      <c r="GO484"/>
      <c r="GP484"/>
      <c r="GQ484"/>
      <c r="GR484"/>
      <c r="GS484"/>
      <c r="GT484"/>
      <c r="GU484"/>
      <c r="GV484"/>
      <c r="GW484"/>
      <c r="GX484"/>
      <c r="GY484"/>
      <c r="GZ484"/>
      <c r="HA484"/>
      <c r="HB484"/>
      <c r="HC484"/>
      <c r="HD484"/>
      <c r="HE484"/>
      <c r="HF484"/>
      <c r="HG484"/>
      <c r="HH484"/>
      <c r="HI484"/>
      <c r="HJ484"/>
      <c r="HK484"/>
      <c r="HL484"/>
      <c r="HM484"/>
      <c r="HN484"/>
      <c r="HO484"/>
      <c r="HP484"/>
      <c r="HQ484"/>
      <c r="HR484"/>
      <c r="HS484"/>
      <c r="HT484"/>
      <c r="HU484"/>
      <c r="HV484"/>
      <c r="HW484"/>
      <c r="HX484"/>
      <c r="HY484"/>
      <c r="HZ484"/>
      <c r="IA484"/>
      <c r="IB484"/>
      <c r="IC484"/>
      <c r="ID484"/>
      <c r="IE484"/>
      <c r="IF484"/>
      <c r="IG484"/>
      <c r="IH484"/>
      <c r="II484"/>
      <c r="IJ484"/>
      <c r="IK484"/>
      <c r="IL484"/>
      <c r="IM484"/>
      <c r="IN484"/>
      <c r="IO484"/>
      <c r="IP484"/>
      <c r="IQ484"/>
      <c r="IR484"/>
      <c r="IS484"/>
      <c r="IT484"/>
      <c r="IU484"/>
      <c r="IV484"/>
      <c r="IW484"/>
      <c r="IX484"/>
      <c r="IY484"/>
      <c r="IZ484"/>
      <c r="JA484"/>
      <c r="JB484"/>
      <c r="JC484"/>
      <c r="JD484"/>
      <c r="JE484"/>
      <c r="JF484"/>
      <c r="JG484"/>
      <c r="JH484"/>
      <c r="JI484"/>
      <c r="JJ484"/>
      <c r="JK484"/>
      <c r="JL484"/>
      <c r="JM484"/>
      <c r="JN484"/>
      <c r="JO484"/>
      <c r="JP484"/>
      <c r="JQ484"/>
      <c r="JR484"/>
      <c r="JS484"/>
      <c r="JT484"/>
      <c r="JU484"/>
      <c r="JV484"/>
      <c r="JW484"/>
      <c r="JX484"/>
      <c r="JY484"/>
      <c r="JZ484"/>
      <c r="KA484"/>
      <c r="KB484"/>
      <c r="KC484"/>
      <c r="KD484"/>
      <c r="KE484"/>
      <c r="KF484"/>
      <c r="KG484"/>
      <c r="KH484"/>
      <c r="KI484"/>
      <c r="KJ484"/>
      <c r="KK484"/>
      <c r="KL484"/>
      <c r="KM484"/>
      <c r="KN484"/>
      <c r="KO484"/>
      <c r="KP484"/>
      <c r="KQ484"/>
      <c r="KR484"/>
      <c r="KS484"/>
    </row>
    <row r="485" spans="2:305" hidden="1" x14ac:dyDescent="0.2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c r="EN485"/>
      <c r="EO485"/>
      <c r="EP485"/>
      <c r="EQ485"/>
      <c r="ER485"/>
      <c r="ES485"/>
      <c r="ET485"/>
      <c r="EU485"/>
      <c r="EV485"/>
      <c r="EW485"/>
      <c r="EX485"/>
      <c r="EY485"/>
      <c r="EZ485"/>
      <c r="FA485"/>
      <c r="FB485"/>
      <c r="FC485"/>
      <c r="FD485"/>
      <c r="FE485"/>
      <c r="FF485"/>
      <c r="FG485"/>
      <c r="FH485"/>
      <c r="FI485"/>
      <c r="FJ485"/>
      <c r="FK485"/>
      <c r="FL485"/>
      <c r="FM485"/>
      <c r="FN485"/>
      <c r="FO485"/>
      <c r="FP485"/>
      <c r="FQ485"/>
      <c r="FR485"/>
      <c r="FS485"/>
      <c r="FT485"/>
      <c r="FU485"/>
      <c r="FV485"/>
      <c r="FW485"/>
      <c r="FX485"/>
      <c r="FY485"/>
      <c r="FZ485"/>
      <c r="GA485"/>
      <c r="GB485"/>
      <c r="GC485"/>
      <c r="GD485"/>
      <c r="GE485"/>
      <c r="GF485"/>
      <c r="GG485"/>
      <c r="GH485"/>
      <c r="GI485"/>
      <c r="GJ485"/>
      <c r="GK485"/>
      <c r="GL485"/>
      <c r="GM485"/>
      <c r="GN485"/>
      <c r="GO485"/>
      <c r="GP485"/>
      <c r="GQ485"/>
      <c r="GR485"/>
      <c r="GS485"/>
      <c r="GT485"/>
      <c r="GU485"/>
      <c r="GV485"/>
      <c r="GW485"/>
      <c r="GX485"/>
      <c r="GY485"/>
      <c r="GZ485"/>
      <c r="HA485"/>
      <c r="HB485"/>
      <c r="HC485"/>
      <c r="HD485"/>
      <c r="HE485"/>
      <c r="HF485"/>
      <c r="HG485"/>
      <c r="HH485"/>
      <c r="HI485"/>
      <c r="HJ485"/>
      <c r="HK485"/>
      <c r="HL485"/>
      <c r="HM485"/>
      <c r="HN485"/>
      <c r="HO485"/>
      <c r="HP485"/>
      <c r="HQ485"/>
      <c r="HR485"/>
      <c r="HS485"/>
      <c r="HT485"/>
      <c r="HU485"/>
      <c r="HV485"/>
      <c r="HW485"/>
      <c r="HX485"/>
      <c r="HY485"/>
      <c r="HZ485"/>
      <c r="IA485"/>
      <c r="IB485"/>
      <c r="IC485"/>
      <c r="ID485"/>
      <c r="IE485"/>
      <c r="IF485"/>
      <c r="IG485"/>
      <c r="IH485"/>
      <c r="II485"/>
      <c r="IJ485"/>
      <c r="IK485"/>
      <c r="IL485"/>
      <c r="IM485"/>
      <c r="IN485"/>
      <c r="IO485"/>
      <c r="IP485"/>
      <c r="IQ485"/>
      <c r="IR485"/>
      <c r="IS485"/>
      <c r="IT485"/>
      <c r="IU485"/>
      <c r="IV485"/>
      <c r="IW485"/>
      <c r="IX485"/>
      <c r="IY485"/>
      <c r="IZ485"/>
      <c r="JA485"/>
      <c r="JB485"/>
      <c r="JC485"/>
      <c r="JD485"/>
      <c r="JE485"/>
      <c r="JF485"/>
      <c r="JG485"/>
      <c r="JH485"/>
      <c r="JI485"/>
      <c r="JJ485"/>
      <c r="JK485"/>
      <c r="JL485"/>
      <c r="JM485"/>
      <c r="JN485"/>
      <c r="JO485"/>
      <c r="JP485"/>
      <c r="JQ485"/>
      <c r="JR485"/>
      <c r="JS485"/>
      <c r="JT485"/>
      <c r="JU485"/>
      <c r="JV485"/>
      <c r="JW485"/>
      <c r="JX485"/>
      <c r="JY485"/>
      <c r="JZ485"/>
      <c r="KA485"/>
      <c r="KB485"/>
      <c r="KC485"/>
      <c r="KD485"/>
      <c r="KE485"/>
      <c r="KF485"/>
      <c r="KG485"/>
      <c r="KH485"/>
      <c r="KI485"/>
      <c r="KJ485"/>
      <c r="KK485"/>
      <c r="KL485"/>
      <c r="KM485"/>
      <c r="KN485"/>
      <c r="KO485"/>
      <c r="KP485"/>
      <c r="KQ485"/>
      <c r="KR485"/>
      <c r="KS485"/>
    </row>
    <row r="486" spans="2:305" hidden="1" x14ac:dyDescent="0.25">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c r="EN486"/>
      <c r="EO486"/>
      <c r="EP486"/>
      <c r="EQ486"/>
      <c r="ER486"/>
      <c r="ES486"/>
      <c r="ET486"/>
      <c r="EU486"/>
      <c r="EV486"/>
      <c r="EW486"/>
      <c r="EX486"/>
      <c r="EY486"/>
      <c r="EZ486"/>
      <c r="FA486"/>
      <c r="FB486"/>
      <c r="FC486"/>
      <c r="FD486"/>
      <c r="FE486"/>
      <c r="FF486"/>
      <c r="FG486"/>
      <c r="FH486"/>
      <c r="FI486"/>
      <c r="FJ486"/>
      <c r="FK486"/>
      <c r="FL486"/>
      <c r="FM486"/>
      <c r="FN486"/>
      <c r="FO486"/>
      <c r="FP486"/>
      <c r="FQ486"/>
      <c r="FR486"/>
      <c r="FS486"/>
      <c r="FT486"/>
      <c r="FU486"/>
      <c r="FV486"/>
      <c r="FW486"/>
      <c r="FX486"/>
      <c r="FY486"/>
      <c r="FZ486"/>
      <c r="GA486"/>
      <c r="GB486"/>
      <c r="GC486"/>
      <c r="GD486"/>
      <c r="GE486"/>
      <c r="GF486"/>
      <c r="GG486"/>
      <c r="GH486"/>
      <c r="GI486"/>
      <c r="GJ486"/>
      <c r="GK486"/>
      <c r="GL486"/>
      <c r="GM486"/>
      <c r="GN486"/>
      <c r="GO486"/>
      <c r="GP486"/>
      <c r="GQ486"/>
      <c r="GR486"/>
      <c r="GS486"/>
      <c r="GT486"/>
      <c r="GU486"/>
      <c r="GV486"/>
      <c r="GW486"/>
      <c r="GX486"/>
      <c r="GY486"/>
      <c r="GZ486"/>
      <c r="HA486"/>
      <c r="HB486"/>
      <c r="HC486"/>
      <c r="HD486"/>
      <c r="HE486"/>
      <c r="HF486"/>
      <c r="HG486"/>
      <c r="HH486"/>
      <c r="HI486"/>
      <c r="HJ486"/>
      <c r="HK486"/>
      <c r="HL486"/>
      <c r="HM486"/>
      <c r="HN486"/>
      <c r="HO486"/>
      <c r="HP486"/>
      <c r="HQ486"/>
      <c r="HR486"/>
      <c r="HS486"/>
      <c r="HT486"/>
      <c r="HU486"/>
      <c r="HV486"/>
      <c r="HW486"/>
      <c r="HX486"/>
      <c r="HY486"/>
      <c r="HZ486"/>
      <c r="IA486"/>
      <c r="IB486"/>
      <c r="IC486"/>
      <c r="ID486"/>
      <c r="IE486"/>
      <c r="IF486"/>
      <c r="IG486"/>
      <c r="IH486"/>
      <c r="II486"/>
      <c r="IJ486"/>
      <c r="IK486"/>
      <c r="IL486"/>
      <c r="IM486"/>
      <c r="IN486"/>
      <c r="IO486"/>
      <c r="IP486"/>
      <c r="IQ486"/>
      <c r="IR486"/>
      <c r="IS486"/>
      <c r="IT486"/>
      <c r="IU486"/>
      <c r="IV486"/>
      <c r="IW486"/>
      <c r="IX486"/>
      <c r="IY486"/>
      <c r="IZ486"/>
      <c r="JA486"/>
      <c r="JB486"/>
      <c r="JC486"/>
      <c r="JD486"/>
      <c r="JE486"/>
      <c r="JF486"/>
      <c r="JG486"/>
      <c r="JH486"/>
      <c r="JI486"/>
      <c r="JJ486"/>
      <c r="JK486"/>
      <c r="JL486"/>
      <c r="JM486"/>
      <c r="JN486"/>
      <c r="JO486"/>
      <c r="JP486"/>
      <c r="JQ486"/>
      <c r="JR486"/>
      <c r="JS486"/>
      <c r="JT486"/>
      <c r="JU486"/>
      <c r="JV486"/>
      <c r="JW486"/>
      <c r="JX486"/>
      <c r="JY486"/>
      <c r="JZ486"/>
      <c r="KA486"/>
      <c r="KB486"/>
      <c r="KC486"/>
      <c r="KD486"/>
      <c r="KE486"/>
      <c r="KF486"/>
      <c r="KG486"/>
      <c r="KH486"/>
      <c r="KI486"/>
      <c r="KJ486"/>
      <c r="KK486"/>
      <c r="KL486"/>
      <c r="KM486"/>
      <c r="KN486"/>
      <c r="KO486"/>
      <c r="KP486"/>
      <c r="KQ486"/>
      <c r="KR486"/>
      <c r="KS486"/>
    </row>
    <row r="487" spans="2:305" hidden="1" x14ac:dyDescent="0.25">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c r="EN487"/>
      <c r="EO487"/>
      <c r="EP487"/>
      <c r="EQ487"/>
      <c r="ER487"/>
      <c r="ES487"/>
      <c r="ET487"/>
      <c r="EU487"/>
      <c r="EV487"/>
      <c r="EW487"/>
      <c r="EX487"/>
      <c r="EY487"/>
      <c r="EZ487"/>
      <c r="FA487"/>
      <c r="FB487"/>
      <c r="FC487"/>
      <c r="FD487"/>
      <c r="FE487"/>
      <c r="FF487"/>
      <c r="FG487"/>
      <c r="FH487"/>
      <c r="FI487"/>
      <c r="FJ487"/>
      <c r="FK487"/>
      <c r="FL487"/>
      <c r="FM487"/>
      <c r="FN487"/>
      <c r="FO487"/>
      <c r="FP487"/>
      <c r="FQ487"/>
      <c r="FR487"/>
      <c r="FS487"/>
      <c r="FT487"/>
      <c r="FU487"/>
      <c r="FV487"/>
      <c r="FW487"/>
      <c r="FX487"/>
      <c r="FY487"/>
      <c r="FZ487"/>
      <c r="GA487"/>
      <c r="GB487"/>
      <c r="GC487"/>
      <c r="GD487"/>
      <c r="GE487"/>
      <c r="GF487"/>
      <c r="GG487"/>
      <c r="GH487"/>
      <c r="GI487"/>
      <c r="GJ487"/>
      <c r="GK487"/>
      <c r="GL487"/>
      <c r="GM487"/>
      <c r="GN487"/>
      <c r="GO487"/>
      <c r="GP487"/>
      <c r="GQ487"/>
      <c r="GR487"/>
      <c r="GS487"/>
      <c r="GT487"/>
      <c r="GU487"/>
      <c r="GV487"/>
      <c r="GW487"/>
      <c r="GX487"/>
      <c r="GY487"/>
      <c r="GZ487"/>
      <c r="HA487"/>
      <c r="HB487"/>
      <c r="HC487"/>
      <c r="HD487"/>
      <c r="HE487"/>
      <c r="HF487"/>
      <c r="HG487"/>
      <c r="HH487"/>
      <c r="HI487"/>
      <c r="HJ487"/>
      <c r="HK487"/>
      <c r="HL487"/>
      <c r="HM487"/>
      <c r="HN487"/>
      <c r="HO487"/>
      <c r="HP487"/>
      <c r="HQ487"/>
      <c r="HR487"/>
      <c r="HS487"/>
      <c r="HT487"/>
      <c r="HU487"/>
      <c r="HV487"/>
      <c r="HW487"/>
      <c r="HX487"/>
      <c r="HY487"/>
      <c r="HZ487"/>
      <c r="IA487"/>
      <c r="IB487"/>
      <c r="IC487"/>
      <c r="ID487"/>
      <c r="IE487"/>
      <c r="IF487"/>
      <c r="IG487"/>
      <c r="IH487"/>
      <c r="II487"/>
      <c r="IJ487"/>
      <c r="IK487"/>
      <c r="IL487"/>
      <c r="IM487"/>
      <c r="IN487"/>
      <c r="IO487"/>
      <c r="IP487"/>
      <c r="IQ487"/>
      <c r="IR487"/>
      <c r="IS487"/>
      <c r="IT487"/>
      <c r="IU487"/>
      <c r="IV487"/>
      <c r="IW487"/>
      <c r="IX487"/>
      <c r="IY487"/>
      <c r="IZ487"/>
      <c r="JA487"/>
      <c r="JB487"/>
      <c r="JC487"/>
      <c r="JD487"/>
      <c r="JE487"/>
      <c r="JF487"/>
      <c r="JG487"/>
      <c r="JH487"/>
      <c r="JI487"/>
      <c r="JJ487"/>
      <c r="JK487"/>
      <c r="JL487"/>
      <c r="JM487"/>
      <c r="JN487"/>
      <c r="JO487"/>
      <c r="JP487"/>
      <c r="JQ487"/>
      <c r="JR487"/>
      <c r="JS487"/>
      <c r="JT487"/>
      <c r="JU487"/>
      <c r="JV487"/>
      <c r="JW487"/>
      <c r="JX487"/>
      <c r="JY487"/>
      <c r="JZ487"/>
      <c r="KA487"/>
      <c r="KB487"/>
      <c r="KC487"/>
      <c r="KD487"/>
      <c r="KE487"/>
      <c r="KF487"/>
      <c r="KG487"/>
      <c r="KH487"/>
      <c r="KI487"/>
      <c r="KJ487"/>
      <c r="KK487"/>
      <c r="KL487"/>
      <c r="KM487"/>
      <c r="KN487"/>
      <c r="KO487"/>
      <c r="KP487"/>
      <c r="KQ487"/>
      <c r="KR487"/>
      <c r="KS487"/>
    </row>
    <row r="488" spans="2:305" hidden="1" x14ac:dyDescent="0.25">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c r="DF488"/>
      <c r="DG488"/>
      <c r="DH488"/>
      <c r="DI488"/>
      <c r="DJ488"/>
      <c r="DK488"/>
      <c r="DL488"/>
      <c r="DM488"/>
      <c r="DN488"/>
      <c r="DO488"/>
      <c r="DP488"/>
      <c r="DQ488"/>
      <c r="DR488"/>
      <c r="DS488"/>
      <c r="DT488"/>
      <c r="DU488"/>
      <c r="DV488"/>
      <c r="DW488"/>
      <c r="DX488"/>
      <c r="DY488"/>
      <c r="DZ488"/>
      <c r="EA488"/>
      <c r="EB488"/>
      <c r="EC488"/>
      <c r="ED488"/>
      <c r="EE488"/>
      <c r="EF488"/>
      <c r="EG488"/>
      <c r="EH488"/>
      <c r="EI488"/>
      <c r="EJ488"/>
      <c r="EK488"/>
      <c r="EL488"/>
      <c r="EM488"/>
      <c r="EN488"/>
      <c r="EO488"/>
      <c r="EP488"/>
      <c r="EQ488"/>
      <c r="ER488"/>
      <c r="ES488"/>
      <c r="ET488"/>
      <c r="EU488"/>
      <c r="EV488"/>
      <c r="EW488"/>
      <c r="EX488"/>
      <c r="EY488"/>
      <c r="EZ488"/>
      <c r="FA488"/>
      <c r="FB488"/>
      <c r="FC488"/>
      <c r="FD488"/>
      <c r="FE488"/>
      <c r="FF488"/>
      <c r="FG488"/>
      <c r="FH488"/>
      <c r="FI488"/>
      <c r="FJ488"/>
      <c r="FK488"/>
      <c r="FL488"/>
      <c r="FM488"/>
      <c r="FN488"/>
      <c r="FO488"/>
      <c r="FP488"/>
      <c r="FQ488"/>
      <c r="FR488"/>
      <c r="FS488"/>
      <c r="FT488"/>
      <c r="FU488"/>
      <c r="FV488"/>
      <c r="FW488"/>
      <c r="FX488"/>
      <c r="FY488"/>
      <c r="FZ488"/>
      <c r="GA488"/>
      <c r="GB488"/>
      <c r="GC488"/>
      <c r="GD488"/>
      <c r="GE488"/>
      <c r="GF488"/>
      <c r="GG488"/>
      <c r="GH488"/>
      <c r="GI488"/>
      <c r="GJ488"/>
      <c r="GK488"/>
      <c r="GL488"/>
      <c r="GM488"/>
      <c r="GN488"/>
      <c r="GO488"/>
      <c r="GP488"/>
      <c r="GQ488"/>
      <c r="GR488"/>
      <c r="GS488"/>
      <c r="GT488"/>
      <c r="GU488"/>
      <c r="GV488"/>
      <c r="GW488"/>
      <c r="GX488"/>
      <c r="GY488"/>
      <c r="GZ488"/>
      <c r="HA488"/>
      <c r="HB488"/>
      <c r="HC488"/>
      <c r="HD488"/>
      <c r="HE488"/>
      <c r="HF488"/>
      <c r="HG488"/>
      <c r="HH488"/>
      <c r="HI488"/>
      <c r="HJ488"/>
      <c r="HK488"/>
      <c r="HL488"/>
      <c r="HM488"/>
      <c r="HN488"/>
      <c r="HO488"/>
      <c r="HP488"/>
      <c r="HQ488"/>
      <c r="HR488"/>
      <c r="HS488"/>
      <c r="HT488"/>
      <c r="HU488"/>
      <c r="HV488"/>
      <c r="HW488"/>
      <c r="HX488"/>
      <c r="HY488"/>
      <c r="HZ488"/>
      <c r="IA488"/>
      <c r="IB488"/>
      <c r="IC488"/>
      <c r="ID488"/>
      <c r="IE488"/>
      <c r="IF488"/>
      <c r="IG488"/>
      <c r="IH488"/>
      <c r="II488"/>
      <c r="IJ488"/>
      <c r="IK488"/>
      <c r="IL488"/>
      <c r="IM488"/>
      <c r="IN488"/>
      <c r="IO488"/>
      <c r="IP488"/>
      <c r="IQ488"/>
      <c r="IR488"/>
      <c r="IS488"/>
      <c r="IT488"/>
      <c r="IU488"/>
      <c r="IV488"/>
      <c r="IW488"/>
      <c r="IX488"/>
      <c r="IY488"/>
      <c r="IZ488"/>
      <c r="JA488"/>
      <c r="JB488"/>
      <c r="JC488"/>
      <c r="JD488"/>
      <c r="JE488"/>
      <c r="JF488"/>
      <c r="JG488"/>
      <c r="JH488"/>
      <c r="JI488"/>
      <c r="JJ488"/>
      <c r="JK488"/>
      <c r="JL488"/>
      <c r="JM488"/>
      <c r="JN488"/>
      <c r="JO488"/>
      <c r="JP488"/>
      <c r="JQ488"/>
      <c r="JR488"/>
      <c r="JS488"/>
      <c r="JT488"/>
      <c r="JU488"/>
      <c r="JV488"/>
      <c r="JW488"/>
      <c r="JX488"/>
      <c r="JY488"/>
      <c r="JZ488"/>
      <c r="KA488"/>
      <c r="KB488"/>
      <c r="KC488"/>
      <c r="KD488"/>
      <c r="KE488"/>
      <c r="KF488"/>
      <c r="KG488"/>
      <c r="KH488"/>
      <c r="KI488"/>
      <c r="KJ488"/>
      <c r="KK488"/>
      <c r="KL488"/>
      <c r="KM488"/>
      <c r="KN488"/>
      <c r="KO488"/>
      <c r="KP488"/>
      <c r="KQ488"/>
      <c r="KR488"/>
      <c r="KS488"/>
    </row>
    <row r="489" spans="2:305" hidden="1" x14ac:dyDescent="0.25">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c r="EN489"/>
      <c r="EO489"/>
      <c r="EP489"/>
      <c r="EQ489"/>
      <c r="ER489"/>
      <c r="ES489"/>
      <c r="ET489"/>
      <c r="EU489"/>
      <c r="EV489"/>
      <c r="EW489"/>
      <c r="EX489"/>
      <c r="EY489"/>
      <c r="EZ489"/>
      <c r="FA489"/>
      <c r="FB489"/>
      <c r="FC489"/>
      <c r="FD489"/>
      <c r="FE489"/>
      <c r="FF489"/>
      <c r="FG489"/>
      <c r="FH489"/>
      <c r="FI489"/>
      <c r="FJ489"/>
      <c r="FK489"/>
      <c r="FL489"/>
      <c r="FM489"/>
      <c r="FN489"/>
      <c r="FO489"/>
      <c r="FP489"/>
      <c r="FQ489"/>
      <c r="FR489"/>
      <c r="FS489"/>
      <c r="FT489"/>
      <c r="FU489"/>
      <c r="FV489"/>
      <c r="FW489"/>
      <c r="FX489"/>
      <c r="FY489"/>
      <c r="FZ489"/>
      <c r="GA489"/>
      <c r="GB489"/>
      <c r="GC489"/>
      <c r="GD489"/>
      <c r="GE489"/>
      <c r="GF489"/>
      <c r="GG489"/>
      <c r="GH489"/>
      <c r="GI489"/>
      <c r="GJ489"/>
      <c r="GK489"/>
      <c r="GL489"/>
      <c r="GM489"/>
      <c r="GN489"/>
      <c r="GO489"/>
      <c r="GP489"/>
      <c r="GQ489"/>
      <c r="GR489"/>
      <c r="GS489"/>
      <c r="GT489"/>
      <c r="GU489"/>
      <c r="GV489"/>
      <c r="GW489"/>
      <c r="GX489"/>
      <c r="GY489"/>
      <c r="GZ489"/>
      <c r="HA489"/>
      <c r="HB489"/>
      <c r="HC489"/>
      <c r="HD489"/>
      <c r="HE489"/>
      <c r="HF489"/>
      <c r="HG489"/>
      <c r="HH489"/>
      <c r="HI489"/>
      <c r="HJ489"/>
      <c r="HK489"/>
      <c r="HL489"/>
      <c r="HM489"/>
      <c r="HN489"/>
      <c r="HO489"/>
      <c r="HP489"/>
      <c r="HQ489"/>
      <c r="HR489"/>
      <c r="HS489"/>
      <c r="HT489"/>
      <c r="HU489"/>
      <c r="HV489"/>
      <c r="HW489"/>
      <c r="HX489"/>
      <c r="HY489"/>
      <c r="HZ489"/>
      <c r="IA489"/>
      <c r="IB489"/>
      <c r="IC489"/>
      <c r="ID489"/>
      <c r="IE489"/>
      <c r="IF489"/>
      <c r="IG489"/>
      <c r="IH489"/>
      <c r="II489"/>
      <c r="IJ489"/>
      <c r="IK489"/>
      <c r="IL489"/>
      <c r="IM489"/>
      <c r="IN489"/>
      <c r="IO489"/>
      <c r="IP489"/>
      <c r="IQ489"/>
      <c r="IR489"/>
      <c r="IS489"/>
      <c r="IT489"/>
      <c r="IU489"/>
      <c r="IV489"/>
      <c r="IW489"/>
      <c r="IX489"/>
      <c r="IY489"/>
      <c r="IZ489"/>
      <c r="JA489"/>
      <c r="JB489"/>
      <c r="JC489"/>
      <c r="JD489"/>
      <c r="JE489"/>
      <c r="JF489"/>
      <c r="JG489"/>
      <c r="JH489"/>
      <c r="JI489"/>
      <c r="JJ489"/>
      <c r="JK489"/>
      <c r="JL489"/>
      <c r="JM489"/>
      <c r="JN489"/>
      <c r="JO489"/>
      <c r="JP489"/>
      <c r="JQ489"/>
      <c r="JR489"/>
      <c r="JS489"/>
      <c r="JT489"/>
      <c r="JU489"/>
      <c r="JV489"/>
      <c r="JW489"/>
      <c r="JX489"/>
      <c r="JY489"/>
      <c r="JZ489"/>
      <c r="KA489"/>
      <c r="KB489"/>
      <c r="KC489"/>
      <c r="KD489"/>
      <c r="KE489"/>
      <c r="KF489"/>
      <c r="KG489"/>
      <c r="KH489"/>
      <c r="KI489"/>
      <c r="KJ489"/>
      <c r="KK489"/>
      <c r="KL489"/>
      <c r="KM489"/>
      <c r="KN489"/>
      <c r="KO489"/>
      <c r="KP489"/>
      <c r="KQ489"/>
      <c r="KR489"/>
      <c r="KS489"/>
    </row>
    <row r="490" spans="2:305" hidden="1" x14ac:dyDescent="0.25">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c r="DF490"/>
      <c r="DG490"/>
      <c r="DH490"/>
      <c r="DI490"/>
      <c r="DJ490"/>
      <c r="DK490"/>
      <c r="DL490"/>
      <c r="DM490"/>
      <c r="DN490"/>
      <c r="DO490"/>
      <c r="DP490"/>
      <c r="DQ490"/>
      <c r="DR490"/>
      <c r="DS490"/>
      <c r="DT490"/>
      <c r="DU490"/>
      <c r="DV490"/>
      <c r="DW490"/>
      <c r="DX490"/>
      <c r="DY490"/>
      <c r="DZ490"/>
      <c r="EA490"/>
      <c r="EB490"/>
      <c r="EC490"/>
      <c r="ED490"/>
      <c r="EE490"/>
      <c r="EF490"/>
      <c r="EG490"/>
      <c r="EH490"/>
      <c r="EI490"/>
      <c r="EJ490"/>
      <c r="EK490"/>
      <c r="EL490"/>
      <c r="EM490"/>
      <c r="EN490"/>
      <c r="EO490"/>
      <c r="EP490"/>
      <c r="EQ490"/>
      <c r="ER490"/>
      <c r="ES490"/>
      <c r="ET490"/>
      <c r="EU490"/>
      <c r="EV490"/>
      <c r="EW490"/>
      <c r="EX490"/>
      <c r="EY490"/>
      <c r="EZ490"/>
      <c r="FA490"/>
      <c r="FB490"/>
      <c r="FC490"/>
      <c r="FD490"/>
      <c r="FE490"/>
      <c r="FF490"/>
      <c r="FG490"/>
      <c r="FH490"/>
      <c r="FI490"/>
      <c r="FJ490"/>
      <c r="FK490"/>
      <c r="FL490"/>
      <c r="FM490"/>
      <c r="FN490"/>
      <c r="FO490"/>
      <c r="FP490"/>
      <c r="FQ490"/>
      <c r="FR490"/>
      <c r="FS490"/>
      <c r="FT490"/>
      <c r="FU490"/>
      <c r="FV490"/>
      <c r="FW490"/>
      <c r="FX490"/>
      <c r="FY490"/>
      <c r="FZ490"/>
      <c r="GA490"/>
      <c r="GB490"/>
      <c r="GC490"/>
      <c r="GD490"/>
      <c r="GE490"/>
      <c r="GF490"/>
      <c r="GG490"/>
      <c r="GH490"/>
      <c r="GI490"/>
      <c r="GJ490"/>
      <c r="GK490"/>
      <c r="GL490"/>
      <c r="GM490"/>
      <c r="GN490"/>
      <c r="GO490"/>
      <c r="GP490"/>
      <c r="GQ490"/>
      <c r="GR490"/>
      <c r="GS490"/>
      <c r="GT490"/>
      <c r="GU490"/>
      <c r="GV490"/>
      <c r="GW490"/>
      <c r="GX490"/>
      <c r="GY490"/>
      <c r="GZ490"/>
      <c r="HA490"/>
      <c r="HB490"/>
      <c r="HC490"/>
      <c r="HD490"/>
      <c r="HE490"/>
      <c r="HF490"/>
      <c r="HG490"/>
      <c r="HH490"/>
      <c r="HI490"/>
      <c r="HJ490"/>
      <c r="HK490"/>
      <c r="HL490"/>
      <c r="HM490"/>
      <c r="HN490"/>
      <c r="HO490"/>
      <c r="HP490"/>
      <c r="HQ490"/>
      <c r="HR490"/>
      <c r="HS490"/>
      <c r="HT490"/>
      <c r="HU490"/>
      <c r="HV490"/>
      <c r="HW490"/>
      <c r="HX490"/>
      <c r="HY490"/>
      <c r="HZ490"/>
      <c r="IA490"/>
      <c r="IB490"/>
      <c r="IC490"/>
      <c r="ID490"/>
      <c r="IE490"/>
      <c r="IF490"/>
      <c r="IG490"/>
      <c r="IH490"/>
      <c r="II490"/>
      <c r="IJ490"/>
      <c r="IK490"/>
      <c r="IL490"/>
      <c r="IM490"/>
      <c r="IN490"/>
      <c r="IO490"/>
      <c r="IP490"/>
      <c r="IQ490"/>
      <c r="IR490"/>
      <c r="IS490"/>
      <c r="IT490"/>
      <c r="IU490"/>
      <c r="IV490"/>
      <c r="IW490"/>
      <c r="IX490"/>
      <c r="IY490"/>
      <c r="IZ490"/>
      <c r="JA490"/>
      <c r="JB490"/>
      <c r="JC490"/>
      <c r="JD490"/>
      <c r="JE490"/>
      <c r="JF490"/>
      <c r="JG490"/>
      <c r="JH490"/>
      <c r="JI490"/>
      <c r="JJ490"/>
      <c r="JK490"/>
      <c r="JL490"/>
      <c r="JM490"/>
      <c r="JN490"/>
      <c r="JO490"/>
      <c r="JP490"/>
      <c r="JQ490"/>
      <c r="JR490"/>
      <c r="JS490"/>
      <c r="JT490"/>
      <c r="JU490"/>
      <c r="JV490"/>
      <c r="JW490"/>
      <c r="JX490"/>
      <c r="JY490"/>
      <c r="JZ490"/>
      <c r="KA490"/>
      <c r="KB490"/>
      <c r="KC490"/>
      <c r="KD490"/>
      <c r="KE490"/>
      <c r="KF490"/>
      <c r="KG490"/>
      <c r="KH490"/>
      <c r="KI490"/>
      <c r="KJ490"/>
      <c r="KK490"/>
      <c r="KL490"/>
      <c r="KM490"/>
      <c r="KN490"/>
      <c r="KO490"/>
      <c r="KP490"/>
      <c r="KQ490"/>
      <c r="KR490"/>
      <c r="KS490"/>
    </row>
    <row r="491" spans="2:305" hidden="1" x14ac:dyDescent="0.25">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c r="DF491"/>
      <c r="DG491"/>
      <c r="DH491"/>
      <c r="DI491"/>
      <c r="DJ491"/>
      <c r="DK491"/>
      <c r="DL491"/>
      <c r="DM491"/>
      <c r="DN491"/>
      <c r="DO491"/>
      <c r="DP491"/>
      <c r="DQ491"/>
      <c r="DR491"/>
      <c r="DS491"/>
      <c r="DT491"/>
      <c r="DU491"/>
      <c r="DV491"/>
      <c r="DW491"/>
      <c r="DX491"/>
      <c r="DY491"/>
      <c r="DZ491"/>
      <c r="EA491"/>
      <c r="EB491"/>
      <c r="EC491"/>
      <c r="ED491"/>
      <c r="EE491"/>
      <c r="EF491"/>
      <c r="EG491"/>
      <c r="EH491"/>
      <c r="EI491"/>
      <c r="EJ491"/>
      <c r="EK491"/>
      <c r="EL491"/>
      <c r="EM491"/>
      <c r="EN491"/>
      <c r="EO491"/>
      <c r="EP491"/>
      <c r="EQ491"/>
      <c r="ER491"/>
      <c r="ES491"/>
      <c r="ET491"/>
      <c r="EU491"/>
      <c r="EV491"/>
      <c r="EW491"/>
      <c r="EX491"/>
      <c r="EY491"/>
      <c r="EZ491"/>
      <c r="FA491"/>
      <c r="FB491"/>
      <c r="FC491"/>
      <c r="FD491"/>
      <c r="FE491"/>
      <c r="FF491"/>
      <c r="FG491"/>
      <c r="FH491"/>
      <c r="FI491"/>
      <c r="FJ491"/>
      <c r="FK491"/>
      <c r="FL491"/>
      <c r="FM491"/>
      <c r="FN491"/>
      <c r="FO491"/>
      <c r="FP491"/>
      <c r="FQ491"/>
      <c r="FR491"/>
      <c r="FS491"/>
      <c r="FT491"/>
      <c r="FU491"/>
      <c r="FV491"/>
      <c r="FW491"/>
      <c r="FX491"/>
      <c r="FY491"/>
      <c r="FZ491"/>
      <c r="GA491"/>
      <c r="GB491"/>
      <c r="GC491"/>
      <c r="GD491"/>
      <c r="GE491"/>
      <c r="GF491"/>
      <c r="GG491"/>
      <c r="GH491"/>
      <c r="GI491"/>
      <c r="GJ491"/>
      <c r="GK491"/>
      <c r="GL491"/>
      <c r="GM491"/>
      <c r="GN491"/>
      <c r="GO491"/>
      <c r="GP491"/>
      <c r="GQ491"/>
      <c r="GR491"/>
      <c r="GS491"/>
      <c r="GT491"/>
      <c r="GU491"/>
      <c r="GV491"/>
      <c r="GW491"/>
      <c r="GX491"/>
      <c r="GY491"/>
      <c r="GZ491"/>
      <c r="HA491"/>
      <c r="HB491"/>
      <c r="HC491"/>
      <c r="HD491"/>
      <c r="HE491"/>
      <c r="HF491"/>
      <c r="HG491"/>
      <c r="HH491"/>
      <c r="HI491"/>
      <c r="HJ491"/>
      <c r="HK491"/>
      <c r="HL491"/>
      <c r="HM491"/>
      <c r="HN491"/>
      <c r="HO491"/>
      <c r="HP491"/>
      <c r="HQ491"/>
      <c r="HR491"/>
      <c r="HS491"/>
      <c r="HT491"/>
      <c r="HU491"/>
      <c r="HV491"/>
      <c r="HW491"/>
      <c r="HX491"/>
      <c r="HY491"/>
      <c r="HZ491"/>
      <c r="IA491"/>
      <c r="IB491"/>
      <c r="IC491"/>
      <c r="ID491"/>
      <c r="IE491"/>
      <c r="IF491"/>
      <c r="IG491"/>
      <c r="IH491"/>
      <c r="II491"/>
      <c r="IJ491"/>
      <c r="IK491"/>
      <c r="IL491"/>
      <c r="IM491"/>
      <c r="IN491"/>
      <c r="IO491"/>
      <c r="IP491"/>
      <c r="IQ491"/>
      <c r="IR491"/>
      <c r="IS491"/>
      <c r="IT491"/>
      <c r="IU491"/>
      <c r="IV491"/>
      <c r="IW491"/>
      <c r="IX491"/>
      <c r="IY491"/>
      <c r="IZ491"/>
      <c r="JA491"/>
      <c r="JB491"/>
      <c r="JC491"/>
      <c r="JD491"/>
      <c r="JE491"/>
      <c r="JF491"/>
      <c r="JG491"/>
      <c r="JH491"/>
      <c r="JI491"/>
      <c r="JJ491"/>
      <c r="JK491"/>
      <c r="JL491"/>
      <c r="JM491"/>
      <c r="JN491"/>
      <c r="JO491"/>
      <c r="JP491"/>
      <c r="JQ491"/>
      <c r="JR491"/>
      <c r="JS491"/>
      <c r="JT491"/>
      <c r="JU491"/>
      <c r="JV491"/>
      <c r="JW491"/>
      <c r="JX491"/>
      <c r="JY491"/>
      <c r="JZ491"/>
      <c r="KA491"/>
      <c r="KB491"/>
      <c r="KC491"/>
      <c r="KD491"/>
      <c r="KE491"/>
      <c r="KF491"/>
      <c r="KG491"/>
      <c r="KH491"/>
      <c r="KI491"/>
      <c r="KJ491"/>
      <c r="KK491"/>
      <c r="KL491"/>
      <c r="KM491"/>
      <c r="KN491"/>
      <c r="KO491"/>
      <c r="KP491"/>
      <c r="KQ491"/>
      <c r="KR491"/>
      <c r="KS491"/>
    </row>
    <row r="492" spans="2:305" hidden="1" x14ac:dyDescent="0.25">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c r="DF492"/>
      <c r="DG492"/>
      <c r="DH492"/>
      <c r="DI492"/>
      <c r="DJ492"/>
      <c r="DK492"/>
      <c r="DL492"/>
      <c r="DM492"/>
      <c r="DN492"/>
      <c r="DO492"/>
      <c r="DP492"/>
      <c r="DQ492"/>
      <c r="DR492"/>
      <c r="DS492"/>
      <c r="DT492"/>
      <c r="DU492"/>
      <c r="DV492"/>
      <c r="DW492"/>
      <c r="DX492"/>
      <c r="DY492"/>
      <c r="DZ492"/>
      <c r="EA492"/>
      <c r="EB492"/>
      <c r="EC492"/>
      <c r="ED492"/>
      <c r="EE492"/>
      <c r="EF492"/>
      <c r="EG492"/>
      <c r="EH492"/>
      <c r="EI492"/>
      <c r="EJ492"/>
      <c r="EK492"/>
      <c r="EL492"/>
      <c r="EM492"/>
      <c r="EN492"/>
      <c r="EO492"/>
      <c r="EP492"/>
      <c r="EQ492"/>
      <c r="ER492"/>
      <c r="ES492"/>
      <c r="ET492"/>
      <c r="EU492"/>
      <c r="EV492"/>
      <c r="EW492"/>
      <c r="EX492"/>
      <c r="EY492"/>
      <c r="EZ492"/>
      <c r="FA492"/>
      <c r="FB492"/>
      <c r="FC492"/>
      <c r="FD492"/>
      <c r="FE492"/>
      <c r="FF492"/>
      <c r="FG492"/>
      <c r="FH492"/>
      <c r="FI492"/>
      <c r="FJ492"/>
      <c r="FK492"/>
      <c r="FL492"/>
      <c r="FM492"/>
      <c r="FN492"/>
      <c r="FO492"/>
      <c r="FP492"/>
      <c r="FQ492"/>
      <c r="FR492"/>
      <c r="FS492"/>
      <c r="FT492"/>
      <c r="FU492"/>
      <c r="FV492"/>
      <c r="FW492"/>
      <c r="FX492"/>
      <c r="FY492"/>
      <c r="FZ492"/>
      <c r="GA492"/>
      <c r="GB492"/>
      <c r="GC492"/>
      <c r="GD492"/>
      <c r="GE492"/>
      <c r="GF492"/>
      <c r="GG492"/>
      <c r="GH492"/>
      <c r="GI492"/>
      <c r="GJ492"/>
      <c r="GK492"/>
      <c r="GL492"/>
      <c r="GM492"/>
      <c r="GN492"/>
      <c r="GO492"/>
      <c r="GP492"/>
      <c r="GQ492"/>
      <c r="GR492"/>
      <c r="GS492"/>
      <c r="GT492"/>
      <c r="GU492"/>
      <c r="GV492"/>
      <c r="GW492"/>
      <c r="GX492"/>
      <c r="GY492"/>
      <c r="GZ492"/>
      <c r="HA492"/>
      <c r="HB492"/>
      <c r="HC492"/>
      <c r="HD492"/>
      <c r="HE492"/>
      <c r="HF492"/>
      <c r="HG492"/>
      <c r="HH492"/>
      <c r="HI492"/>
      <c r="HJ492"/>
      <c r="HK492"/>
      <c r="HL492"/>
      <c r="HM492"/>
      <c r="HN492"/>
      <c r="HO492"/>
      <c r="HP492"/>
      <c r="HQ492"/>
      <c r="HR492"/>
      <c r="HS492"/>
      <c r="HT492"/>
      <c r="HU492"/>
      <c r="HV492"/>
      <c r="HW492"/>
      <c r="HX492"/>
      <c r="HY492"/>
      <c r="HZ492"/>
      <c r="IA492"/>
      <c r="IB492"/>
      <c r="IC492"/>
      <c r="ID492"/>
      <c r="IE492"/>
      <c r="IF492"/>
      <c r="IG492"/>
      <c r="IH492"/>
      <c r="II492"/>
      <c r="IJ492"/>
      <c r="IK492"/>
      <c r="IL492"/>
      <c r="IM492"/>
      <c r="IN492"/>
      <c r="IO492"/>
      <c r="IP492"/>
      <c r="IQ492"/>
      <c r="IR492"/>
      <c r="IS492"/>
      <c r="IT492"/>
      <c r="IU492"/>
      <c r="IV492"/>
      <c r="IW492"/>
      <c r="IX492"/>
      <c r="IY492"/>
      <c r="IZ492"/>
      <c r="JA492"/>
      <c r="JB492"/>
      <c r="JC492"/>
      <c r="JD492"/>
      <c r="JE492"/>
      <c r="JF492"/>
      <c r="JG492"/>
      <c r="JH492"/>
      <c r="JI492"/>
      <c r="JJ492"/>
      <c r="JK492"/>
      <c r="JL492"/>
      <c r="JM492"/>
      <c r="JN492"/>
      <c r="JO492"/>
      <c r="JP492"/>
      <c r="JQ492"/>
      <c r="JR492"/>
      <c r="JS492"/>
      <c r="JT492"/>
      <c r="JU492"/>
      <c r="JV492"/>
      <c r="JW492"/>
      <c r="JX492"/>
      <c r="JY492"/>
      <c r="JZ492"/>
      <c r="KA492"/>
      <c r="KB492"/>
      <c r="KC492"/>
      <c r="KD492"/>
      <c r="KE492"/>
      <c r="KF492"/>
      <c r="KG492"/>
      <c r="KH492"/>
      <c r="KI492"/>
      <c r="KJ492"/>
      <c r="KK492"/>
      <c r="KL492"/>
      <c r="KM492"/>
      <c r="KN492"/>
      <c r="KO492"/>
      <c r="KP492"/>
      <c r="KQ492"/>
      <c r="KR492"/>
      <c r="KS492"/>
    </row>
    <row r="493" spans="2:305" hidden="1" x14ac:dyDescent="0.25">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c r="DF493"/>
      <c r="DG493"/>
      <c r="DH493"/>
      <c r="DI493"/>
      <c r="DJ493"/>
      <c r="DK493"/>
      <c r="DL493"/>
      <c r="DM493"/>
      <c r="DN493"/>
      <c r="DO493"/>
      <c r="DP493"/>
      <c r="DQ493"/>
      <c r="DR493"/>
      <c r="DS493"/>
      <c r="DT493"/>
      <c r="DU493"/>
      <c r="DV493"/>
      <c r="DW493"/>
      <c r="DX493"/>
      <c r="DY493"/>
      <c r="DZ493"/>
      <c r="EA493"/>
      <c r="EB493"/>
      <c r="EC493"/>
      <c r="ED493"/>
      <c r="EE493"/>
      <c r="EF493"/>
      <c r="EG493"/>
      <c r="EH493"/>
      <c r="EI493"/>
      <c r="EJ493"/>
      <c r="EK493"/>
      <c r="EL493"/>
      <c r="EM493"/>
      <c r="EN493"/>
      <c r="EO493"/>
      <c r="EP493"/>
      <c r="EQ493"/>
      <c r="ER493"/>
      <c r="ES493"/>
      <c r="ET493"/>
      <c r="EU493"/>
      <c r="EV493"/>
      <c r="EW493"/>
      <c r="EX493"/>
      <c r="EY493"/>
      <c r="EZ493"/>
      <c r="FA493"/>
      <c r="FB493"/>
      <c r="FC493"/>
      <c r="FD493"/>
      <c r="FE493"/>
      <c r="FF493"/>
      <c r="FG493"/>
      <c r="FH493"/>
      <c r="FI493"/>
      <c r="FJ493"/>
      <c r="FK493"/>
      <c r="FL493"/>
      <c r="FM493"/>
      <c r="FN493"/>
      <c r="FO493"/>
      <c r="FP493"/>
      <c r="FQ493"/>
      <c r="FR493"/>
      <c r="FS493"/>
      <c r="FT493"/>
      <c r="FU493"/>
      <c r="FV493"/>
      <c r="FW493"/>
      <c r="FX493"/>
      <c r="FY493"/>
      <c r="FZ493"/>
      <c r="GA493"/>
      <c r="GB493"/>
      <c r="GC493"/>
      <c r="GD493"/>
      <c r="GE493"/>
      <c r="GF493"/>
      <c r="GG493"/>
      <c r="GH493"/>
      <c r="GI493"/>
      <c r="GJ493"/>
      <c r="GK493"/>
      <c r="GL493"/>
      <c r="GM493"/>
      <c r="GN493"/>
      <c r="GO493"/>
      <c r="GP493"/>
      <c r="GQ493"/>
      <c r="GR493"/>
      <c r="GS493"/>
      <c r="GT493"/>
      <c r="GU493"/>
      <c r="GV493"/>
      <c r="GW493"/>
      <c r="GX493"/>
      <c r="GY493"/>
      <c r="GZ493"/>
      <c r="HA493"/>
      <c r="HB493"/>
      <c r="HC493"/>
      <c r="HD493"/>
      <c r="HE493"/>
      <c r="HF493"/>
      <c r="HG493"/>
      <c r="HH493"/>
      <c r="HI493"/>
      <c r="HJ493"/>
      <c r="HK493"/>
      <c r="HL493"/>
      <c r="HM493"/>
      <c r="HN493"/>
      <c r="HO493"/>
      <c r="HP493"/>
      <c r="HQ493"/>
      <c r="HR493"/>
      <c r="HS493"/>
      <c r="HT493"/>
      <c r="HU493"/>
      <c r="HV493"/>
      <c r="HW493"/>
      <c r="HX493"/>
      <c r="HY493"/>
      <c r="HZ493"/>
      <c r="IA493"/>
      <c r="IB493"/>
      <c r="IC493"/>
      <c r="ID493"/>
      <c r="IE493"/>
      <c r="IF493"/>
      <c r="IG493"/>
      <c r="IH493"/>
      <c r="II493"/>
      <c r="IJ493"/>
      <c r="IK493"/>
      <c r="IL493"/>
      <c r="IM493"/>
      <c r="IN493"/>
      <c r="IO493"/>
      <c r="IP493"/>
      <c r="IQ493"/>
      <c r="IR493"/>
      <c r="IS493"/>
      <c r="IT493"/>
      <c r="IU493"/>
      <c r="IV493"/>
      <c r="IW493"/>
      <c r="IX493"/>
      <c r="IY493"/>
      <c r="IZ493"/>
      <c r="JA493"/>
      <c r="JB493"/>
      <c r="JC493"/>
      <c r="JD493"/>
      <c r="JE493"/>
      <c r="JF493"/>
      <c r="JG493"/>
      <c r="JH493"/>
      <c r="JI493"/>
      <c r="JJ493"/>
      <c r="JK493"/>
      <c r="JL493"/>
      <c r="JM493"/>
      <c r="JN493"/>
      <c r="JO493"/>
      <c r="JP493"/>
      <c r="JQ493"/>
      <c r="JR493"/>
      <c r="JS493"/>
      <c r="JT493"/>
      <c r="JU493"/>
      <c r="JV493"/>
      <c r="JW493"/>
      <c r="JX493"/>
      <c r="JY493"/>
      <c r="JZ493"/>
      <c r="KA493"/>
      <c r="KB493"/>
      <c r="KC493"/>
      <c r="KD493"/>
      <c r="KE493"/>
      <c r="KF493"/>
      <c r="KG493"/>
      <c r="KH493"/>
      <c r="KI493"/>
      <c r="KJ493"/>
      <c r="KK493"/>
      <c r="KL493"/>
      <c r="KM493"/>
      <c r="KN493"/>
      <c r="KO493"/>
      <c r="KP493"/>
      <c r="KQ493"/>
      <c r="KR493"/>
      <c r="KS493"/>
    </row>
    <row r="494" spans="2:305" hidden="1" x14ac:dyDescent="0.25">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c r="DF494"/>
      <c r="DG494"/>
      <c r="DH494"/>
      <c r="DI494"/>
      <c r="DJ494"/>
      <c r="DK494"/>
      <c r="DL494"/>
      <c r="DM494"/>
      <c r="DN494"/>
      <c r="DO494"/>
      <c r="DP494"/>
      <c r="DQ494"/>
      <c r="DR494"/>
      <c r="DS494"/>
      <c r="DT494"/>
      <c r="DU494"/>
      <c r="DV494"/>
      <c r="DW494"/>
      <c r="DX494"/>
      <c r="DY494"/>
      <c r="DZ494"/>
      <c r="EA494"/>
      <c r="EB494"/>
      <c r="EC494"/>
      <c r="ED494"/>
      <c r="EE494"/>
      <c r="EF494"/>
      <c r="EG494"/>
      <c r="EH494"/>
      <c r="EI494"/>
      <c r="EJ494"/>
      <c r="EK494"/>
      <c r="EL494"/>
      <c r="EM494"/>
      <c r="EN494"/>
      <c r="EO494"/>
      <c r="EP494"/>
      <c r="EQ494"/>
      <c r="ER494"/>
      <c r="ES494"/>
      <c r="ET494"/>
      <c r="EU494"/>
      <c r="EV494"/>
      <c r="EW494"/>
      <c r="EX494"/>
      <c r="EY494"/>
      <c r="EZ494"/>
      <c r="FA494"/>
      <c r="FB494"/>
      <c r="FC494"/>
      <c r="FD494"/>
      <c r="FE494"/>
      <c r="FF494"/>
      <c r="FG494"/>
      <c r="FH494"/>
      <c r="FI494"/>
      <c r="FJ494"/>
      <c r="FK494"/>
      <c r="FL494"/>
      <c r="FM494"/>
      <c r="FN494"/>
      <c r="FO494"/>
      <c r="FP494"/>
      <c r="FQ494"/>
      <c r="FR494"/>
      <c r="FS494"/>
      <c r="FT494"/>
      <c r="FU494"/>
      <c r="FV494"/>
      <c r="FW494"/>
      <c r="FX494"/>
      <c r="FY494"/>
      <c r="FZ494"/>
      <c r="GA494"/>
      <c r="GB494"/>
      <c r="GC494"/>
      <c r="GD494"/>
      <c r="GE494"/>
      <c r="GF494"/>
      <c r="GG494"/>
      <c r="GH494"/>
      <c r="GI494"/>
      <c r="GJ494"/>
      <c r="GK494"/>
      <c r="GL494"/>
      <c r="GM494"/>
      <c r="GN494"/>
      <c r="GO494"/>
      <c r="GP494"/>
      <c r="GQ494"/>
      <c r="GR494"/>
      <c r="GS494"/>
      <c r="GT494"/>
      <c r="GU494"/>
      <c r="GV494"/>
      <c r="GW494"/>
      <c r="GX494"/>
      <c r="GY494"/>
      <c r="GZ494"/>
      <c r="HA494"/>
      <c r="HB494"/>
      <c r="HC494"/>
      <c r="HD494"/>
      <c r="HE494"/>
      <c r="HF494"/>
      <c r="HG494"/>
      <c r="HH494"/>
      <c r="HI494"/>
      <c r="HJ494"/>
      <c r="HK494"/>
      <c r="HL494"/>
      <c r="HM494"/>
      <c r="HN494"/>
      <c r="HO494"/>
      <c r="HP494"/>
      <c r="HQ494"/>
      <c r="HR494"/>
      <c r="HS494"/>
      <c r="HT494"/>
      <c r="HU494"/>
      <c r="HV494"/>
      <c r="HW494"/>
      <c r="HX494"/>
      <c r="HY494"/>
      <c r="HZ494"/>
      <c r="IA494"/>
      <c r="IB494"/>
      <c r="IC494"/>
      <c r="ID494"/>
      <c r="IE494"/>
      <c r="IF494"/>
      <c r="IG494"/>
      <c r="IH494"/>
      <c r="II494"/>
      <c r="IJ494"/>
      <c r="IK494"/>
      <c r="IL494"/>
      <c r="IM494"/>
      <c r="IN494"/>
      <c r="IO494"/>
      <c r="IP494"/>
      <c r="IQ494"/>
      <c r="IR494"/>
      <c r="IS494"/>
      <c r="IT494"/>
      <c r="IU494"/>
      <c r="IV494"/>
      <c r="IW494"/>
      <c r="IX494"/>
      <c r="IY494"/>
      <c r="IZ494"/>
      <c r="JA494"/>
      <c r="JB494"/>
      <c r="JC494"/>
      <c r="JD494"/>
      <c r="JE494"/>
      <c r="JF494"/>
      <c r="JG494"/>
      <c r="JH494"/>
      <c r="JI494"/>
      <c r="JJ494"/>
      <c r="JK494"/>
      <c r="JL494"/>
      <c r="JM494"/>
      <c r="JN494"/>
      <c r="JO494"/>
      <c r="JP494"/>
      <c r="JQ494"/>
      <c r="JR494"/>
      <c r="JS494"/>
      <c r="JT494"/>
      <c r="JU494"/>
      <c r="JV494"/>
      <c r="JW494"/>
      <c r="JX494"/>
      <c r="JY494"/>
      <c r="JZ494"/>
      <c r="KA494"/>
      <c r="KB494"/>
      <c r="KC494"/>
      <c r="KD494"/>
      <c r="KE494"/>
      <c r="KF494"/>
      <c r="KG494"/>
      <c r="KH494"/>
      <c r="KI494"/>
      <c r="KJ494"/>
      <c r="KK494"/>
      <c r="KL494"/>
      <c r="KM494"/>
      <c r="KN494"/>
      <c r="KO494"/>
      <c r="KP494"/>
      <c r="KQ494"/>
      <c r="KR494"/>
      <c r="KS494"/>
    </row>
    <row r="495" spans="2:305" hidden="1" x14ac:dyDescent="0.2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c r="DF495"/>
      <c r="DG495"/>
      <c r="DH495"/>
      <c r="DI495"/>
      <c r="DJ495"/>
      <c r="DK495"/>
      <c r="DL495"/>
      <c r="DM495"/>
      <c r="DN495"/>
      <c r="DO495"/>
      <c r="DP495"/>
      <c r="DQ495"/>
      <c r="DR495"/>
      <c r="DS495"/>
      <c r="DT495"/>
      <c r="DU495"/>
      <c r="DV495"/>
      <c r="DW495"/>
      <c r="DX495"/>
      <c r="DY495"/>
      <c r="DZ495"/>
      <c r="EA495"/>
      <c r="EB495"/>
      <c r="EC495"/>
      <c r="ED495"/>
      <c r="EE495"/>
      <c r="EF495"/>
      <c r="EG495"/>
      <c r="EH495"/>
      <c r="EI495"/>
      <c r="EJ495"/>
      <c r="EK495"/>
      <c r="EL495"/>
      <c r="EM495"/>
      <c r="EN495"/>
      <c r="EO495"/>
      <c r="EP495"/>
      <c r="EQ495"/>
      <c r="ER495"/>
      <c r="ES495"/>
      <c r="ET495"/>
      <c r="EU495"/>
      <c r="EV495"/>
      <c r="EW495"/>
      <c r="EX495"/>
      <c r="EY495"/>
      <c r="EZ495"/>
      <c r="FA495"/>
      <c r="FB495"/>
      <c r="FC495"/>
      <c r="FD495"/>
      <c r="FE495"/>
      <c r="FF495"/>
      <c r="FG495"/>
      <c r="FH495"/>
      <c r="FI495"/>
      <c r="FJ495"/>
      <c r="FK495"/>
      <c r="FL495"/>
      <c r="FM495"/>
      <c r="FN495"/>
      <c r="FO495"/>
      <c r="FP495"/>
      <c r="FQ495"/>
      <c r="FR495"/>
      <c r="FS495"/>
      <c r="FT495"/>
      <c r="FU495"/>
      <c r="FV495"/>
      <c r="FW495"/>
      <c r="FX495"/>
      <c r="FY495"/>
      <c r="FZ495"/>
      <c r="GA495"/>
      <c r="GB495"/>
      <c r="GC495"/>
      <c r="GD495"/>
      <c r="GE495"/>
      <c r="GF495"/>
      <c r="GG495"/>
      <c r="GH495"/>
      <c r="GI495"/>
      <c r="GJ495"/>
      <c r="GK495"/>
      <c r="GL495"/>
      <c r="GM495"/>
      <c r="GN495"/>
      <c r="GO495"/>
      <c r="GP495"/>
      <c r="GQ495"/>
      <c r="GR495"/>
      <c r="GS495"/>
      <c r="GT495"/>
      <c r="GU495"/>
      <c r="GV495"/>
      <c r="GW495"/>
      <c r="GX495"/>
      <c r="GY495"/>
      <c r="GZ495"/>
      <c r="HA495"/>
      <c r="HB495"/>
      <c r="HC495"/>
      <c r="HD495"/>
      <c r="HE495"/>
      <c r="HF495"/>
      <c r="HG495"/>
      <c r="HH495"/>
      <c r="HI495"/>
      <c r="HJ495"/>
      <c r="HK495"/>
      <c r="HL495"/>
      <c r="HM495"/>
      <c r="HN495"/>
      <c r="HO495"/>
      <c r="HP495"/>
      <c r="HQ495"/>
      <c r="HR495"/>
      <c r="HS495"/>
      <c r="HT495"/>
      <c r="HU495"/>
      <c r="HV495"/>
      <c r="HW495"/>
      <c r="HX495"/>
      <c r="HY495"/>
      <c r="HZ495"/>
      <c r="IA495"/>
      <c r="IB495"/>
      <c r="IC495"/>
      <c r="ID495"/>
      <c r="IE495"/>
      <c r="IF495"/>
      <c r="IG495"/>
      <c r="IH495"/>
      <c r="II495"/>
      <c r="IJ495"/>
      <c r="IK495"/>
      <c r="IL495"/>
      <c r="IM495"/>
      <c r="IN495"/>
      <c r="IO495"/>
      <c r="IP495"/>
      <c r="IQ495"/>
      <c r="IR495"/>
      <c r="IS495"/>
      <c r="IT495"/>
      <c r="IU495"/>
      <c r="IV495"/>
      <c r="IW495"/>
      <c r="IX495"/>
      <c r="IY495"/>
      <c r="IZ495"/>
      <c r="JA495"/>
      <c r="JB495"/>
      <c r="JC495"/>
      <c r="JD495"/>
      <c r="JE495"/>
      <c r="JF495"/>
      <c r="JG495"/>
      <c r="JH495"/>
      <c r="JI495"/>
      <c r="JJ495"/>
      <c r="JK495"/>
      <c r="JL495"/>
      <c r="JM495"/>
      <c r="JN495"/>
      <c r="JO495"/>
      <c r="JP495"/>
      <c r="JQ495"/>
      <c r="JR495"/>
      <c r="JS495"/>
      <c r="JT495"/>
      <c r="JU495"/>
      <c r="JV495"/>
      <c r="JW495"/>
      <c r="JX495"/>
      <c r="JY495"/>
      <c r="JZ495"/>
      <c r="KA495"/>
      <c r="KB495"/>
      <c r="KC495"/>
      <c r="KD495"/>
      <c r="KE495"/>
      <c r="KF495"/>
      <c r="KG495"/>
      <c r="KH495"/>
      <c r="KI495"/>
      <c r="KJ495"/>
      <c r="KK495"/>
      <c r="KL495"/>
      <c r="KM495"/>
      <c r="KN495"/>
      <c r="KO495"/>
      <c r="KP495"/>
      <c r="KQ495"/>
      <c r="KR495"/>
      <c r="KS495"/>
    </row>
    <row r="496" spans="2:305" hidden="1" x14ac:dyDescent="0.25">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c r="DF496"/>
      <c r="DG496"/>
      <c r="DH496"/>
      <c r="DI496"/>
      <c r="DJ496"/>
      <c r="DK496"/>
      <c r="DL496"/>
      <c r="DM496"/>
      <c r="DN496"/>
      <c r="DO496"/>
      <c r="DP496"/>
      <c r="DQ496"/>
      <c r="DR496"/>
      <c r="DS496"/>
      <c r="DT496"/>
      <c r="DU496"/>
      <c r="DV496"/>
      <c r="DW496"/>
      <c r="DX496"/>
      <c r="DY496"/>
      <c r="DZ496"/>
      <c r="EA496"/>
      <c r="EB496"/>
      <c r="EC496"/>
      <c r="ED496"/>
      <c r="EE496"/>
      <c r="EF496"/>
      <c r="EG496"/>
      <c r="EH496"/>
      <c r="EI496"/>
      <c r="EJ496"/>
      <c r="EK496"/>
      <c r="EL496"/>
      <c r="EM496"/>
      <c r="EN496"/>
      <c r="EO496"/>
      <c r="EP496"/>
      <c r="EQ496"/>
      <c r="ER496"/>
      <c r="ES496"/>
      <c r="ET496"/>
      <c r="EU496"/>
      <c r="EV496"/>
      <c r="EW496"/>
      <c r="EX496"/>
      <c r="EY496"/>
      <c r="EZ496"/>
      <c r="FA496"/>
      <c r="FB496"/>
      <c r="FC496"/>
      <c r="FD496"/>
      <c r="FE496"/>
      <c r="FF496"/>
      <c r="FG496"/>
      <c r="FH496"/>
      <c r="FI496"/>
      <c r="FJ496"/>
      <c r="FK496"/>
      <c r="FL496"/>
      <c r="FM496"/>
      <c r="FN496"/>
      <c r="FO496"/>
      <c r="FP496"/>
      <c r="FQ496"/>
      <c r="FR496"/>
      <c r="FS496"/>
      <c r="FT496"/>
      <c r="FU496"/>
      <c r="FV496"/>
      <c r="FW496"/>
      <c r="FX496"/>
      <c r="FY496"/>
      <c r="FZ496"/>
      <c r="GA496"/>
      <c r="GB496"/>
      <c r="GC496"/>
      <c r="GD496"/>
      <c r="GE496"/>
      <c r="GF496"/>
      <c r="GG496"/>
      <c r="GH496"/>
      <c r="GI496"/>
      <c r="GJ496"/>
      <c r="GK496"/>
      <c r="GL496"/>
      <c r="GM496"/>
      <c r="GN496"/>
      <c r="GO496"/>
      <c r="GP496"/>
      <c r="GQ496"/>
      <c r="GR496"/>
      <c r="GS496"/>
      <c r="GT496"/>
      <c r="GU496"/>
      <c r="GV496"/>
      <c r="GW496"/>
      <c r="GX496"/>
      <c r="GY496"/>
      <c r="GZ496"/>
      <c r="HA496"/>
      <c r="HB496"/>
      <c r="HC496"/>
      <c r="HD496"/>
      <c r="HE496"/>
      <c r="HF496"/>
      <c r="HG496"/>
      <c r="HH496"/>
      <c r="HI496"/>
      <c r="HJ496"/>
      <c r="HK496"/>
      <c r="HL496"/>
      <c r="HM496"/>
      <c r="HN496"/>
      <c r="HO496"/>
      <c r="HP496"/>
      <c r="HQ496"/>
      <c r="HR496"/>
      <c r="HS496"/>
      <c r="HT496"/>
      <c r="HU496"/>
      <c r="HV496"/>
      <c r="HW496"/>
      <c r="HX496"/>
      <c r="HY496"/>
      <c r="HZ496"/>
      <c r="IA496"/>
      <c r="IB496"/>
      <c r="IC496"/>
      <c r="ID496"/>
      <c r="IE496"/>
      <c r="IF496"/>
      <c r="IG496"/>
      <c r="IH496"/>
      <c r="II496"/>
      <c r="IJ496"/>
      <c r="IK496"/>
      <c r="IL496"/>
      <c r="IM496"/>
      <c r="IN496"/>
      <c r="IO496"/>
      <c r="IP496"/>
      <c r="IQ496"/>
      <c r="IR496"/>
      <c r="IS496"/>
      <c r="IT496"/>
      <c r="IU496"/>
      <c r="IV496"/>
      <c r="IW496"/>
      <c r="IX496"/>
      <c r="IY496"/>
      <c r="IZ496"/>
      <c r="JA496"/>
      <c r="JB496"/>
      <c r="JC496"/>
      <c r="JD496"/>
      <c r="JE496"/>
      <c r="JF496"/>
      <c r="JG496"/>
      <c r="JH496"/>
      <c r="JI496"/>
      <c r="JJ496"/>
      <c r="JK496"/>
      <c r="JL496"/>
      <c r="JM496"/>
      <c r="JN496"/>
      <c r="JO496"/>
      <c r="JP496"/>
      <c r="JQ496"/>
      <c r="JR496"/>
      <c r="JS496"/>
      <c r="JT496"/>
      <c r="JU496"/>
      <c r="JV496"/>
      <c r="JW496"/>
      <c r="JX496"/>
      <c r="JY496"/>
      <c r="JZ496"/>
      <c r="KA496"/>
      <c r="KB496"/>
      <c r="KC496"/>
      <c r="KD496"/>
      <c r="KE496"/>
      <c r="KF496"/>
      <c r="KG496"/>
      <c r="KH496"/>
      <c r="KI496"/>
      <c r="KJ496"/>
      <c r="KK496"/>
      <c r="KL496"/>
      <c r="KM496"/>
      <c r="KN496"/>
      <c r="KO496"/>
      <c r="KP496"/>
      <c r="KQ496"/>
      <c r="KR496"/>
      <c r="KS496"/>
    </row>
    <row r="497" spans="2:305" hidden="1" x14ac:dyDescent="0.25">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c r="DF497"/>
      <c r="DG497"/>
      <c r="DH497"/>
      <c r="DI497"/>
      <c r="DJ497"/>
      <c r="DK497"/>
      <c r="DL497"/>
      <c r="DM497"/>
      <c r="DN497"/>
      <c r="DO497"/>
      <c r="DP497"/>
      <c r="DQ497"/>
      <c r="DR497"/>
      <c r="DS497"/>
      <c r="DT497"/>
      <c r="DU497"/>
      <c r="DV497"/>
      <c r="DW497"/>
      <c r="DX497"/>
      <c r="DY497"/>
      <c r="DZ497"/>
      <c r="EA497"/>
      <c r="EB497"/>
      <c r="EC497"/>
      <c r="ED497"/>
      <c r="EE497"/>
      <c r="EF497"/>
      <c r="EG497"/>
      <c r="EH497"/>
      <c r="EI497"/>
      <c r="EJ497"/>
      <c r="EK497"/>
      <c r="EL497"/>
      <c r="EM497"/>
      <c r="EN497"/>
      <c r="EO497"/>
      <c r="EP497"/>
      <c r="EQ497"/>
      <c r="ER497"/>
      <c r="ES497"/>
      <c r="ET497"/>
      <c r="EU497"/>
      <c r="EV497"/>
      <c r="EW497"/>
      <c r="EX497"/>
      <c r="EY497"/>
      <c r="EZ497"/>
      <c r="FA497"/>
      <c r="FB497"/>
      <c r="FC497"/>
      <c r="FD497"/>
      <c r="FE497"/>
      <c r="FF497"/>
      <c r="FG497"/>
      <c r="FH497"/>
      <c r="FI497"/>
      <c r="FJ497"/>
      <c r="FK497"/>
      <c r="FL497"/>
      <c r="FM497"/>
      <c r="FN497"/>
      <c r="FO497"/>
      <c r="FP497"/>
      <c r="FQ497"/>
      <c r="FR497"/>
      <c r="FS497"/>
      <c r="FT497"/>
      <c r="FU497"/>
      <c r="FV497"/>
      <c r="FW497"/>
      <c r="FX497"/>
      <c r="FY497"/>
      <c r="FZ497"/>
      <c r="GA497"/>
      <c r="GB497"/>
      <c r="GC497"/>
      <c r="GD497"/>
      <c r="GE497"/>
      <c r="GF497"/>
      <c r="GG497"/>
      <c r="GH497"/>
      <c r="GI497"/>
      <c r="GJ497"/>
      <c r="GK497"/>
      <c r="GL497"/>
      <c r="GM497"/>
      <c r="GN497"/>
      <c r="GO497"/>
      <c r="GP497"/>
      <c r="GQ497"/>
      <c r="GR497"/>
      <c r="GS497"/>
      <c r="GT497"/>
      <c r="GU497"/>
      <c r="GV497"/>
      <c r="GW497"/>
      <c r="GX497"/>
      <c r="GY497"/>
      <c r="GZ497"/>
      <c r="HA497"/>
      <c r="HB497"/>
      <c r="HC497"/>
      <c r="HD497"/>
      <c r="HE497"/>
      <c r="HF497"/>
      <c r="HG497"/>
      <c r="HH497"/>
      <c r="HI497"/>
      <c r="HJ497"/>
      <c r="HK497"/>
      <c r="HL497"/>
      <c r="HM497"/>
      <c r="HN497"/>
      <c r="HO497"/>
      <c r="HP497"/>
      <c r="HQ497"/>
      <c r="HR497"/>
      <c r="HS497"/>
      <c r="HT497"/>
      <c r="HU497"/>
      <c r="HV497"/>
      <c r="HW497"/>
      <c r="HX497"/>
      <c r="HY497"/>
      <c r="HZ497"/>
      <c r="IA497"/>
      <c r="IB497"/>
      <c r="IC497"/>
      <c r="ID497"/>
      <c r="IE497"/>
      <c r="IF497"/>
      <c r="IG497"/>
      <c r="IH497"/>
      <c r="II497"/>
      <c r="IJ497"/>
      <c r="IK497"/>
      <c r="IL497"/>
      <c r="IM497"/>
      <c r="IN497"/>
      <c r="IO497"/>
      <c r="IP497"/>
      <c r="IQ497"/>
      <c r="IR497"/>
      <c r="IS497"/>
      <c r="IT497"/>
      <c r="IU497"/>
      <c r="IV497"/>
      <c r="IW497"/>
      <c r="IX497"/>
      <c r="IY497"/>
      <c r="IZ497"/>
      <c r="JA497"/>
      <c r="JB497"/>
      <c r="JC497"/>
      <c r="JD497"/>
      <c r="JE497"/>
      <c r="JF497"/>
      <c r="JG497"/>
      <c r="JH497"/>
      <c r="JI497"/>
      <c r="JJ497"/>
      <c r="JK497"/>
      <c r="JL497"/>
      <c r="JM497"/>
      <c r="JN497"/>
      <c r="JO497"/>
      <c r="JP497"/>
      <c r="JQ497"/>
      <c r="JR497"/>
      <c r="JS497"/>
      <c r="JT497"/>
      <c r="JU497"/>
      <c r="JV497"/>
      <c r="JW497"/>
      <c r="JX497"/>
      <c r="JY497"/>
      <c r="JZ497"/>
      <c r="KA497"/>
      <c r="KB497"/>
      <c r="KC497"/>
      <c r="KD497"/>
      <c r="KE497"/>
      <c r="KF497"/>
      <c r="KG497"/>
      <c r="KH497"/>
      <c r="KI497"/>
      <c r="KJ497"/>
      <c r="KK497"/>
      <c r="KL497"/>
      <c r="KM497"/>
      <c r="KN497"/>
      <c r="KO497"/>
      <c r="KP497"/>
      <c r="KQ497"/>
      <c r="KR497"/>
      <c r="KS497"/>
    </row>
    <row r="498" spans="2:305" hidden="1" x14ac:dyDescent="0.25">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c r="DF498"/>
      <c r="DG498"/>
      <c r="DH498"/>
      <c r="DI498"/>
      <c r="DJ498"/>
      <c r="DK498"/>
      <c r="DL498"/>
      <c r="DM498"/>
      <c r="DN498"/>
      <c r="DO498"/>
      <c r="DP498"/>
      <c r="DQ498"/>
      <c r="DR498"/>
      <c r="DS498"/>
      <c r="DT498"/>
      <c r="DU498"/>
      <c r="DV498"/>
      <c r="DW498"/>
      <c r="DX498"/>
      <c r="DY498"/>
      <c r="DZ498"/>
      <c r="EA498"/>
      <c r="EB498"/>
      <c r="EC498"/>
      <c r="ED498"/>
      <c r="EE498"/>
      <c r="EF498"/>
      <c r="EG498"/>
      <c r="EH498"/>
      <c r="EI498"/>
      <c r="EJ498"/>
      <c r="EK498"/>
      <c r="EL498"/>
      <c r="EM498"/>
      <c r="EN498"/>
      <c r="EO498"/>
      <c r="EP498"/>
      <c r="EQ498"/>
      <c r="ER498"/>
      <c r="ES498"/>
      <c r="ET498"/>
      <c r="EU498"/>
      <c r="EV498"/>
      <c r="EW498"/>
      <c r="EX498"/>
      <c r="EY498"/>
      <c r="EZ498"/>
      <c r="FA498"/>
      <c r="FB498"/>
      <c r="FC498"/>
      <c r="FD498"/>
      <c r="FE498"/>
      <c r="FF498"/>
      <c r="FG498"/>
      <c r="FH498"/>
      <c r="FI498"/>
      <c r="FJ498"/>
      <c r="FK498"/>
      <c r="FL498"/>
      <c r="FM498"/>
      <c r="FN498"/>
      <c r="FO498"/>
      <c r="FP498"/>
      <c r="FQ498"/>
      <c r="FR498"/>
      <c r="FS498"/>
      <c r="FT498"/>
      <c r="FU498"/>
      <c r="FV498"/>
      <c r="FW498"/>
      <c r="FX498"/>
      <c r="FY498"/>
      <c r="FZ498"/>
      <c r="GA498"/>
      <c r="GB498"/>
      <c r="GC498"/>
      <c r="GD498"/>
      <c r="GE498"/>
      <c r="GF498"/>
      <c r="GG498"/>
      <c r="GH498"/>
      <c r="GI498"/>
      <c r="GJ498"/>
      <c r="GK498"/>
      <c r="GL498"/>
      <c r="GM498"/>
      <c r="GN498"/>
      <c r="GO498"/>
      <c r="GP498"/>
      <c r="GQ498"/>
      <c r="GR498"/>
      <c r="GS498"/>
      <c r="GT498"/>
      <c r="GU498"/>
      <c r="GV498"/>
      <c r="GW498"/>
      <c r="GX498"/>
      <c r="GY498"/>
      <c r="GZ498"/>
      <c r="HA498"/>
      <c r="HB498"/>
      <c r="HC498"/>
      <c r="HD498"/>
      <c r="HE498"/>
      <c r="HF498"/>
      <c r="HG498"/>
      <c r="HH498"/>
      <c r="HI498"/>
      <c r="HJ498"/>
      <c r="HK498"/>
      <c r="HL498"/>
      <c r="HM498"/>
      <c r="HN498"/>
      <c r="HO498"/>
      <c r="HP498"/>
      <c r="HQ498"/>
      <c r="HR498"/>
      <c r="HS498"/>
      <c r="HT498"/>
      <c r="HU498"/>
      <c r="HV498"/>
      <c r="HW498"/>
      <c r="HX498"/>
      <c r="HY498"/>
      <c r="HZ498"/>
      <c r="IA498"/>
      <c r="IB498"/>
      <c r="IC498"/>
      <c r="ID498"/>
      <c r="IE498"/>
      <c r="IF498"/>
      <c r="IG498"/>
      <c r="IH498"/>
      <c r="II498"/>
      <c r="IJ498"/>
      <c r="IK498"/>
      <c r="IL498"/>
      <c r="IM498"/>
      <c r="IN498"/>
      <c r="IO498"/>
      <c r="IP498"/>
      <c r="IQ498"/>
      <c r="IR498"/>
      <c r="IS498"/>
      <c r="IT498"/>
      <c r="IU498"/>
      <c r="IV498"/>
      <c r="IW498"/>
      <c r="IX498"/>
      <c r="IY498"/>
      <c r="IZ498"/>
      <c r="JA498"/>
      <c r="JB498"/>
      <c r="JC498"/>
      <c r="JD498"/>
      <c r="JE498"/>
      <c r="JF498"/>
      <c r="JG498"/>
      <c r="JH498"/>
      <c r="JI498"/>
      <c r="JJ498"/>
      <c r="JK498"/>
      <c r="JL498"/>
      <c r="JM498"/>
      <c r="JN498"/>
      <c r="JO498"/>
      <c r="JP498"/>
      <c r="JQ498"/>
      <c r="JR498"/>
      <c r="JS498"/>
      <c r="JT498"/>
      <c r="JU498"/>
      <c r="JV498"/>
      <c r="JW498"/>
      <c r="JX498"/>
      <c r="JY498"/>
      <c r="JZ498"/>
      <c r="KA498"/>
      <c r="KB498"/>
      <c r="KC498"/>
      <c r="KD498"/>
      <c r="KE498"/>
      <c r="KF498"/>
      <c r="KG498"/>
      <c r="KH498"/>
      <c r="KI498"/>
      <c r="KJ498"/>
      <c r="KK498"/>
      <c r="KL498"/>
      <c r="KM498"/>
      <c r="KN498"/>
      <c r="KO498"/>
      <c r="KP498"/>
      <c r="KQ498"/>
      <c r="KR498"/>
      <c r="KS498"/>
    </row>
    <row r="499" spans="2:305" hidden="1" x14ac:dyDescent="0.25">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c r="DF499"/>
      <c r="DG499"/>
      <c r="DH499"/>
      <c r="DI499"/>
      <c r="DJ499"/>
      <c r="DK499"/>
      <c r="DL499"/>
      <c r="DM499"/>
      <c r="DN499"/>
      <c r="DO499"/>
      <c r="DP499"/>
      <c r="DQ499"/>
      <c r="DR499"/>
      <c r="DS499"/>
      <c r="DT499"/>
      <c r="DU499"/>
      <c r="DV499"/>
      <c r="DW499"/>
      <c r="DX499"/>
      <c r="DY499"/>
      <c r="DZ499"/>
      <c r="EA499"/>
      <c r="EB499"/>
      <c r="EC499"/>
      <c r="ED499"/>
      <c r="EE499"/>
      <c r="EF499"/>
      <c r="EG499"/>
      <c r="EH499"/>
      <c r="EI499"/>
      <c r="EJ499"/>
      <c r="EK499"/>
      <c r="EL499"/>
      <c r="EM499"/>
      <c r="EN499"/>
      <c r="EO499"/>
      <c r="EP499"/>
      <c r="EQ499"/>
      <c r="ER499"/>
      <c r="ES499"/>
      <c r="ET499"/>
      <c r="EU499"/>
      <c r="EV499"/>
      <c r="EW499"/>
      <c r="EX499"/>
      <c r="EY499"/>
      <c r="EZ499"/>
      <c r="FA499"/>
      <c r="FB499"/>
      <c r="FC499"/>
      <c r="FD499"/>
      <c r="FE499"/>
      <c r="FF499"/>
      <c r="FG499"/>
      <c r="FH499"/>
      <c r="FI499"/>
      <c r="FJ499"/>
      <c r="FK499"/>
      <c r="FL499"/>
      <c r="FM499"/>
      <c r="FN499"/>
      <c r="FO499"/>
      <c r="FP499"/>
      <c r="FQ499"/>
      <c r="FR499"/>
      <c r="FS499"/>
      <c r="FT499"/>
      <c r="FU499"/>
      <c r="FV499"/>
      <c r="FW499"/>
      <c r="FX499"/>
      <c r="FY499"/>
      <c r="FZ499"/>
      <c r="GA499"/>
      <c r="GB499"/>
      <c r="GC499"/>
      <c r="GD499"/>
      <c r="GE499"/>
      <c r="GF499"/>
      <c r="GG499"/>
      <c r="GH499"/>
      <c r="GI499"/>
      <c r="GJ499"/>
      <c r="GK499"/>
      <c r="GL499"/>
      <c r="GM499"/>
      <c r="GN499"/>
      <c r="GO499"/>
      <c r="GP499"/>
      <c r="GQ499"/>
      <c r="GR499"/>
      <c r="GS499"/>
      <c r="GT499"/>
      <c r="GU499"/>
      <c r="GV499"/>
      <c r="GW499"/>
      <c r="GX499"/>
      <c r="GY499"/>
      <c r="GZ499"/>
      <c r="HA499"/>
      <c r="HB499"/>
      <c r="HC499"/>
      <c r="HD499"/>
      <c r="HE499"/>
      <c r="HF499"/>
      <c r="HG499"/>
      <c r="HH499"/>
      <c r="HI499"/>
      <c r="HJ499"/>
      <c r="HK499"/>
      <c r="HL499"/>
      <c r="HM499"/>
      <c r="HN499"/>
      <c r="HO499"/>
      <c r="HP499"/>
      <c r="HQ499"/>
      <c r="HR499"/>
      <c r="HS499"/>
      <c r="HT499"/>
      <c r="HU499"/>
      <c r="HV499"/>
      <c r="HW499"/>
      <c r="HX499"/>
      <c r="HY499"/>
      <c r="HZ499"/>
      <c r="IA499"/>
      <c r="IB499"/>
      <c r="IC499"/>
      <c r="ID499"/>
      <c r="IE499"/>
      <c r="IF499"/>
      <c r="IG499"/>
      <c r="IH499"/>
      <c r="II499"/>
      <c r="IJ499"/>
      <c r="IK499"/>
      <c r="IL499"/>
      <c r="IM499"/>
      <c r="IN499"/>
      <c r="IO499"/>
      <c r="IP499"/>
      <c r="IQ499"/>
      <c r="IR499"/>
      <c r="IS499"/>
      <c r="IT499"/>
      <c r="IU499"/>
      <c r="IV499"/>
      <c r="IW499"/>
      <c r="IX499"/>
      <c r="IY499"/>
      <c r="IZ499"/>
      <c r="JA499"/>
      <c r="JB499"/>
      <c r="JC499"/>
      <c r="JD499"/>
      <c r="JE499"/>
      <c r="JF499"/>
      <c r="JG499"/>
      <c r="JH499"/>
      <c r="JI499"/>
      <c r="JJ499"/>
      <c r="JK499"/>
      <c r="JL499"/>
      <c r="JM499"/>
      <c r="JN499"/>
      <c r="JO499"/>
      <c r="JP499"/>
      <c r="JQ499"/>
      <c r="JR499"/>
      <c r="JS499"/>
      <c r="JT499"/>
      <c r="JU499"/>
      <c r="JV499"/>
      <c r="JW499"/>
      <c r="JX499"/>
      <c r="JY499"/>
      <c r="JZ499"/>
      <c r="KA499"/>
      <c r="KB499"/>
      <c r="KC499"/>
      <c r="KD499"/>
      <c r="KE499"/>
      <c r="KF499"/>
      <c r="KG499"/>
      <c r="KH499"/>
      <c r="KI499"/>
      <c r="KJ499"/>
      <c r="KK499"/>
      <c r="KL499"/>
      <c r="KM499"/>
      <c r="KN499"/>
      <c r="KO499"/>
      <c r="KP499"/>
      <c r="KQ499"/>
      <c r="KR499"/>
      <c r="KS499"/>
    </row>
    <row r="500" spans="2:305" hidden="1" x14ac:dyDescent="0.25">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c r="DF500"/>
      <c r="DG500"/>
      <c r="DH500"/>
      <c r="DI500"/>
      <c r="DJ500"/>
      <c r="DK500"/>
      <c r="DL500"/>
      <c r="DM500"/>
      <c r="DN500"/>
      <c r="DO500"/>
      <c r="DP500"/>
      <c r="DQ500"/>
      <c r="DR500"/>
      <c r="DS500"/>
      <c r="DT500"/>
      <c r="DU500"/>
      <c r="DV500"/>
      <c r="DW500"/>
      <c r="DX500"/>
      <c r="DY500"/>
      <c r="DZ500"/>
      <c r="EA500"/>
      <c r="EB500"/>
      <c r="EC500"/>
      <c r="ED500"/>
      <c r="EE500"/>
      <c r="EF500"/>
      <c r="EG500"/>
      <c r="EH500"/>
      <c r="EI500"/>
      <c r="EJ500"/>
      <c r="EK500"/>
      <c r="EL500"/>
      <c r="EM500"/>
      <c r="EN500"/>
      <c r="EO500"/>
      <c r="EP500"/>
      <c r="EQ500"/>
      <c r="ER500"/>
      <c r="ES500"/>
      <c r="ET500"/>
      <c r="EU500"/>
      <c r="EV500"/>
      <c r="EW500"/>
      <c r="EX500"/>
      <c r="EY500"/>
      <c r="EZ500"/>
      <c r="FA500"/>
      <c r="FB500"/>
      <c r="FC500"/>
      <c r="FD500"/>
      <c r="FE500"/>
      <c r="FF500"/>
      <c r="FG500"/>
      <c r="FH500"/>
      <c r="FI500"/>
      <c r="FJ500"/>
      <c r="FK500"/>
      <c r="FL500"/>
      <c r="FM500"/>
      <c r="FN500"/>
      <c r="FO500"/>
      <c r="FP500"/>
      <c r="FQ500"/>
      <c r="FR500"/>
      <c r="FS500"/>
      <c r="FT500"/>
      <c r="FU500"/>
      <c r="FV500"/>
      <c r="FW500"/>
      <c r="FX500"/>
      <c r="FY500"/>
      <c r="FZ500"/>
      <c r="GA500"/>
      <c r="GB500"/>
      <c r="GC500"/>
      <c r="GD500"/>
      <c r="GE500"/>
      <c r="GF500"/>
      <c r="GG500"/>
      <c r="GH500"/>
      <c r="GI500"/>
      <c r="GJ500"/>
      <c r="GK500"/>
      <c r="GL500"/>
      <c r="GM500"/>
      <c r="GN500"/>
      <c r="GO500"/>
      <c r="GP500"/>
      <c r="GQ500"/>
      <c r="GR500"/>
      <c r="GS500"/>
      <c r="GT500"/>
      <c r="GU500"/>
      <c r="GV500"/>
      <c r="GW500"/>
      <c r="GX500"/>
      <c r="GY500"/>
      <c r="GZ500"/>
      <c r="HA500"/>
      <c r="HB500"/>
      <c r="HC500"/>
      <c r="HD500"/>
      <c r="HE500"/>
      <c r="HF500"/>
      <c r="HG500"/>
      <c r="HH500"/>
      <c r="HI500"/>
      <c r="HJ500"/>
      <c r="HK500"/>
      <c r="HL500"/>
      <c r="HM500"/>
      <c r="HN500"/>
      <c r="HO500"/>
      <c r="HP500"/>
      <c r="HQ500"/>
      <c r="HR500"/>
      <c r="HS500"/>
      <c r="HT500"/>
      <c r="HU500"/>
      <c r="HV500"/>
      <c r="HW500"/>
      <c r="HX500"/>
      <c r="HY500"/>
      <c r="HZ500"/>
      <c r="IA500"/>
      <c r="IB500"/>
      <c r="IC500"/>
      <c r="ID500"/>
      <c r="IE500"/>
      <c r="IF500"/>
      <c r="IG500"/>
      <c r="IH500"/>
      <c r="II500"/>
      <c r="IJ500"/>
      <c r="IK500"/>
      <c r="IL500"/>
      <c r="IM500"/>
      <c r="IN500"/>
      <c r="IO500"/>
      <c r="IP500"/>
      <c r="IQ500"/>
      <c r="IR500"/>
      <c r="IS500"/>
      <c r="IT500"/>
      <c r="IU500"/>
      <c r="IV500"/>
      <c r="IW500"/>
      <c r="IX500"/>
      <c r="IY500"/>
      <c r="IZ500"/>
      <c r="JA500"/>
      <c r="JB500"/>
      <c r="JC500"/>
      <c r="JD500"/>
      <c r="JE500"/>
      <c r="JF500"/>
      <c r="JG500"/>
      <c r="JH500"/>
      <c r="JI500"/>
      <c r="JJ500"/>
      <c r="JK500"/>
      <c r="JL500"/>
      <c r="JM500"/>
      <c r="JN500"/>
      <c r="JO500"/>
      <c r="JP500"/>
      <c r="JQ500"/>
      <c r="JR500"/>
      <c r="JS500"/>
      <c r="JT500"/>
      <c r="JU500"/>
      <c r="JV500"/>
      <c r="JW500"/>
      <c r="JX500"/>
      <c r="JY500"/>
      <c r="JZ500"/>
      <c r="KA500"/>
      <c r="KB500"/>
      <c r="KC500"/>
      <c r="KD500"/>
      <c r="KE500"/>
      <c r="KF500"/>
      <c r="KG500"/>
      <c r="KH500"/>
      <c r="KI500"/>
      <c r="KJ500"/>
      <c r="KK500"/>
      <c r="KL500"/>
      <c r="KM500"/>
      <c r="KN500"/>
      <c r="KO500"/>
      <c r="KP500"/>
      <c r="KQ500"/>
      <c r="KR500"/>
      <c r="KS500"/>
    </row>
    <row r="501" spans="2:305" hidden="1" x14ac:dyDescent="0.25">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M501"/>
      <c r="CN501"/>
      <c r="CO501"/>
      <c r="CP501"/>
      <c r="CQ501"/>
      <c r="CR501"/>
      <c r="CS501"/>
      <c r="CT501"/>
      <c r="CU501"/>
      <c r="CV501"/>
      <c r="CW501"/>
      <c r="CX501"/>
      <c r="CY501"/>
      <c r="CZ501"/>
      <c r="DA501"/>
      <c r="DB501"/>
      <c r="DC501"/>
      <c r="DD501"/>
      <c r="DE501"/>
      <c r="DF501"/>
      <c r="DG501"/>
      <c r="DH501"/>
      <c r="DI501"/>
      <c r="DJ501"/>
      <c r="DK501"/>
      <c r="DL501"/>
      <c r="DM501"/>
      <c r="DN501"/>
      <c r="DO501"/>
      <c r="DP501"/>
      <c r="DQ501"/>
      <c r="DR501"/>
      <c r="DS501"/>
      <c r="DT501"/>
      <c r="DU501"/>
      <c r="DV501"/>
      <c r="DW501"/>
      <c r="DX501"/>
      <c r="DY501"/>
      <c r="DZ501"/>
      <c r="EA501"/>
      <c r="EB501"/>
      <c r="EC501"/>
      <c r="ED501"/>
      <c r="EE501"/>
      <c r="EF501"/>
      <c r="EG501"/>
      <c r="EH501"/>
      <c r="EI501"/>
      <c r="EJ501"/>
      <c r="EK501"/>
      <c r="EL501"/>
      <c r="EM501"/>
      <c r="EN501"/>
      <c r="EO501"/>
      <c r="EP501"/>
      <c r="EQ501"/>
      <c r="ER501"/>
      <c r="ES501"/>
      <c r="ET501"/>
      <c r="EU501"/>
      <c r="EV501"/>
      <c r="EW501"/>
      <c r="EX501"/>
      <c r="EY501"/>
      <c r="EZ501"/>
      <c r="FA501"/>
      <c r="FB501"/>
      <c r="FC501"/>
      <c r="FD501"/>
      <c r="FE501"/>
      <c r="FF501"/>
      <c r="FG501"/>
      <c r="FH501"/>
      <c r="FI501"/>
      <c r="FJ501"/>
      <c r="FK501"/>
      <c r="FL501"/>
      <c r="FM501"/>
      <c r="FN501"/>
      <c r="FO501"/>
      <c r="FP501"/>
      <c r="FQ501"/>
      <c r="FR501"/>
      <c r="FS501"/>
      <c r="FT501"/>
      <c r="FU501"/>
      <c r="FV501"/>
      <c r="FW501"/>
      <c r="FX501"/>
      <c r="FY501"/>
      <c r="FZ501"/>
      <c r="GA501"/>
      <c r="GB501"/>
      <c r="GC501"/>
      <c r="GD501"/>
      <c r="GE501"/>
      <c r="GF501"/>
      <c r="GG501"/>
      <c r="GH501"/>
      <c r="GI501"/>
      <c r="GJ501"/>
      <c r="GK501"/>
      <c r="GL501"/>
      <c r="GM501"/>
      <c r="GN501"/>
      <c r="GO501"/>
      <c r="GP501"/>
      <c r="GQ501"/>
      <c r="GR501"/>
      <c r="GS501"/>
      <c r="GT501"/>
      <c r="GU501"/>
      <c r="GV501"/>
      <c r="GW501"/>
      <c r="GX501"/>
      <c r="GY501"/>
      <c r="GZ501"/>
      <c r="HA501"/>
      <c r="HB501"/>
      <c r="HC501"/>
      <c r="HD501"/>
      <c r="HE501"/>
      <c r="HF501"/>
      <c r="HG501"/>
      <c r="HH501"/>
      <c r="HI501"/>
      <c r="HJ501"/>
      <c r="HK501"/>
      <c r="HL501"/>
      <c r="HM501"/>
      <c r="HN501"/>
      <c r="HO501"/>
      <c r="HP501"/>
      <c r="HQ501"/>
      <c r="HR501"/>
      <c r="HS501"/>
      <c r="HT501"/>
      <c r="HU501"/>
      <c r="HV501"/>
      <c r="HW501"/>
      <c r="HX501"/>
      <c r="HY501"/>
      <c r="HZ501"/>
      <c r="IA501"/>
      <c r="IB501"/>
      <c r="IC501"/>
      <c r="ID501"/>
      <c r="IE501"/>
      <c r="IF501"/>
      <c r="IG501"/>
      <c r="IH501"/>
      <c r="II501"/>
      <c r="IJ501"/>
      <c r="IK501"/>
      <c r="IL501"/>
      <c r="IM501"/>
      <c r="IN501"/>
      <c r="IO501"/>
      <c r="IP501"/>
      <c r="IQ501"/>
      <c r="IR501"/>
      <c r="IS501"/>
      <c r="IT501"/>
      <c r="IU501"/>
      <c r="IV501"/>
      <c r="IW501"/>
      <c r="IX501"/>
      <c r="IY501"/>
      <c r="IZ501"/>
      <c r="JA501"/>
      <c r="JB501"/>
      <c r="JC501"/>
      <c r="JD501"/>
      <c r="JE501"/>
      <c r="JF501"/>
      <c r="JG501"/>
      <c r="JH501"/>
      <c r="JI501"/>
      <c r="JJ501"/>
      <c r="JK501"/>
      <c r="JL501"/>
      <c r="JM501"/>
      <c r="JN501"/>
      <c r="JO501"/>
      <c r="JP501"/>
      <c r="JQ501"/>
      <c r="JR501"/>
      <c r="JS501"/>
      <c r="JT501"/>
      <c r="JU501"/>
      <c r="JV501"/>
      <c r="JW501"/>
      <c r="JX501"/>
      <c r="JY501"/>
      <c r="JZ501"/>
      <c r="KA501"/>
      <c r="KB501"/>
      <c r="KC501"/>
      <c r="KD501"/>
      <c r="KE501"/>
      <c r="KF501"/>
      <c r="KG501"/>
      <c r="KH501"/>
      <c r="KI501"/>
      <c r="KJ501"/>
      <c r="KK501"/>
      <c r="KL501"/>
      <c r="KM501"/>
      <c r="KN501"/>
      <c r="KO501"/>
      <c r="KP501"/>
      <c r="KQ501"/>
      <c r="KR501"/>
      <c r="KS501"/>
    </row>
    <row r="502" spans="2:305" hidden="1" x14ac:dyDescent="0.25">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M502"/>
      <c r="CN502"/>
      <c r="CO502"/>
      <c r="CP502"/>
      <c r="CQ502"/>
      <c r="CR502"/>
      <c r="CS502"/>
      <c r="CT502"/>
      <c r="CU502"/>
      <c r="CV502"/>
      <c r="CW502"/>
      <c r="CX502"/>
      <c r="CY502"/>
      <c r="CZ502"/>
      <c r="DA502"/>
      <c r="DB502"/>
      <c r="DC502"/>
      <c r="DD502"/>
      <c r="DE502"/>
      <c r="DF502"/>
      <c r="DG502"/>
      <c r="DH502"/>
      <c r="DI502"/>
      <c r="DJ502"/>
      <c r="DK502"/>
      <c r="DL502"/>
      <c r="DM502"/>
      <c r="DN502"/>
      <c r="DO502"/>
      <c r="DP502"/>
      <c r="DQ502"/>
      <c r="DR502"/>
      <c r="DS502"/>
      <c r="DT502"/>
      <c r="DU502"/>
      <c r="DV502"/>
      <c r="DW502"/>
      <c r="DX502"/>
      <c r="DY502"/>
      <c r="DZ502"/>
      <c r="EA502"/>
      <c r="EB502"/>
      <c r="EC502"/>
      <c r="ED502"/>
      <c r="EE502"/>
      <c r="EF502"/>
      <c r="EG502"/>
      <c r="EH502"/>
      <c r="EI502"/>
      <c r="EJ502"/>
      <c r="EK502"/>
      <c r="EL502"/>
      <c r="EM502"/>
      <c r="EN502"/>
      <c r="EO502"/>
      <c r="EP502"/>
      <c r="EQ502"/>
      <c r="ER502"/>
      <c r="ES502"/>
      <c r="ET502"/>
      <c r="EU502"/>
      <c r="EV502"/>
      <c r="EW502"/>
      <c r="EX502"/>
      <c r="EY502"/>
      <c r="EZ502"/>
      <c r="FA502"/>
      <c r="FB502"/>
      <c r="FC502"/>
      <c r="FD502"/>
      <c r="FE502"/>
      <c r="FF502"/>
      <c r="FG502"/>
      <c r="FH502"/>
      <c r="FI502"/>
      <c r="FJ502"/>
      <c r="FK502"/>
      <c r="FL502"/>
      <c r="FM502"/>
      <c r="FN502"/>
      <c r="FO502"/>
      <c r="FP502"/>
      <c r="FQ502"/>
      <c r="FR502"/>
      <c r="FS502"/>
      <c r="FT502"/>
      <c r="FU502"/>
      <c r="FV502"/>
      <c r="FW502"/>
      <c r="FX502"/>
      <c r="FY502"/>
      <c r="FZ502"/>
      <c r="GA502"/>
      <c r="GB502"/>
      <c r="GC502"/>
      <c r="GD502"/>
      <c r="GE502"/>
      <c r="GF502"/>
      <c r="GG502"/>
      <c r="GH502"/>
      <c r="GI502"/>
      <c r="GJ502"/>
      <c r="GK502"/>
      <c r="GL502"/>
      <c r="GM502"/>
      <c r="GN502"/>
      <c r="GO502"/>
      <c r="GP502"/>
      <c r="GQ502"/>
      <c r="GR502"/>
      <c r="GS502"/>
      <c r="GT502"/>
      <c r="GU502"/>
      <c r="GV502"/>
      <c r="GW502"/>
      <c r="GX502"/>
      <c r="GY502"/>
      <c r="GZ502"/>
      <c r="HA502"/>
      <c r="HB502"/>
      <c r="HC502"/>
      <c r="HD502"/>
      <c r="HE502"/>
      <c r="HF502"/>
      <c r="HG502"/>
      <c r="HH502"/>
      <c r="HI502"/>
      <c r="HJ502"/>
      <c r="HK502"/>
      <c r="HL502"/>
      <c r="HM502"/>
      <c r="HN502"/>
      <c r="HO502"/>
      <c r="HP502"/>
      <c r="HQ502"/>
      <c r="HR502"/>
      <c r="HS502"/>
      <c r="HT502"/>
      <c r="HU502"/>
      <c r="HV502"/>
      <c r="HW502"/>
      <c r="HX502"/>
      <c r="HY502"/>
      <c r="HZ502"/>
      <c r="IA502"/>
      <c r="IB502"/>
      <c r="IC502"/>
      <c r="ID502"/>
      <c r="IE502"/>
      <c r="IF502"/>
      <c r="IG502"/>
      <c r="IH502"/>
      <c r="II502"/>
      <c r="IJ502"/>
      <c r="IK502"/>
      <c r="IL502"/>
      <c r="IM502"/>
      <c r="IN502"/>
      <c r="IO502"/>
      <c r="IP502"/>
      <c r="IQ502"/>
      <c r="IR502"/>
      <c r="IS502"/>
      <c r="IT502"/>
      <c r="IU502"/>
      <c r="IV502"/>
      <c r="IW502"/>
      <c r="IX502"/>
      <c r="IY502"/>
      <c r="IZ502"/>
      <c r="JA502"/>
      <c r="JB502"/>
      <c r="JC502"/>
      <c r="JD502"/>
      <c r="JE502"/>
      <c r="JF502"/>
      <c r="JG502"/>
      <c r="JH502"/>
      <c r="JI502"/>
      <c r="JJ502"/>
      <c r="JK502"/>
      <c r="JL502"/>
      <c r="JM502"/>
      <c r="JN502"/>
      <c r="JO502"/>
      <c r="JP502"/>
      <c r="JQ502"/>
      <c r="JR502"/>
      <c r="JS502"/>
      <c r="JT502"/>
      <c r="JU502"/>
      <c r="JV502"/>
      <c r="JW502"/>
      <c r="JX502"/>
      <c r="JY502"/>
      <c r="JZ502"/>
      <c r="KA502"/>
      <c r="KB502"/>
      <c r="KC502"/>
      <c r="KD502"/>
      <c r="KE502"/>
      <c r="KF502"/>
      <c r="KG502"/>
      <c r="KH502"/>
      <c r="KI502"/>
      <c r="KJ502"/>
      <c r="KK502"/>
      <c r="KL502"/>
      <c r="KM502"/>
      <c r="KN502"/>
      <c r="KO502"/>
      <c r="KP502"/>
      <c r="KQ502"/>
      <c r="KR502"/>
      <c r="KS502"/>
    </row>
    <row r="503" spans="2:305" hidden="1" x14ac:dyDescent="0.25">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M503"/>
      <c r="CN503"/>
      <c r="CO503"/>
      <c r="CP503"/>
      <c r="CQ503"/>
      <c r="CR503"/>
      <c r="CS503"/>
      <c r="CT503"/>
      <c r="CU503"/>
      <c r="CV503"/>
      <c r="CW503"/>
      <c r="CX503"/>
      <c r="CY503"/>
      <c r="CZ503"/>
      <c r="DA503"/>
      <c r="DB503"/>
      <c r="DC503"/>
      <c r="DD503"/>
      <c r="DE503"/>
      <c r="DF503"/>
      <c r="DG503"/>
      <c r="DH503"/>
      <c r="DI503"/>
      <c r="DJ503"/>
      <c r="DK503"/>
      <c r="DL503"/>
      <c r="DM503"/>
      <c r="DN503"/>
      <c r="DO503"/>
      <c r="DP503"/>
      <c r="DQ503"/>
      <c r="DR503"/>
      <c r="DS503"/>
      <c r="DT503"/>
      <c r="DU503"/>
      <c r="DV503"/>
      <c r="DW503"/>
      <c r="DX503"/>
      <c r="DY503"/>
      <c r="DZ503"/>
      <c r="EA503"/>
      <c r="EB503"/>
      <c r="EC503"/>
      <c r="ED503"/>
      <c r="EE503"/>
      <c r="EF503"/>
      <c r="EG503"/>
      <c r="EH503"/>
      <c r="EI503"/>
      <c r="EJ503"/>
      <c r="EK503"/>
      <c r="EL503"/>
      <c r="EM503"/>
      <c r="EN503"/>
      <c r="EO503"/>
      <c r="EP503"/>
      <c r="EQ503"/>
      <c r="ER503"/>
      <c r="ES503"/>
      <c r="ET503"/>
      <c r="EU503"/>
      <c r="EV503"/>
      <c r="EW503"/>
      <c r="EX503"/>
      <c r="EY503"/>
      <c r="EZ503"/>
      <c r="FA503"/>
      <c r="FB503"/>
      <c r="FC503"/>
      <c r="FD503"/>
      <c r="FE503"/>
      <c r="FF503"/>
      <c r="FG503"/>
      <c r="FH503"/>
      <c r="FI503"/>
      <c r="FJ503"/>
      <c r="FK503"/>
      <c r="FL503"/>
      <c r="FM503"/>
      <c r="FN503"/>
      <c r="FO503"/>
      <c r="FP503"/>
      <c r="FQ503"/>
      <c r="FR503"/>
      <c r="FS503"/>
      <c r="FT503"/>
      <c r="FU503"/>
      <c r="FV503"/>
      <c r="FW503"/>
      <c r="FX503"/>
      <c r="FY503"/>
      <c r="FZ503"/>
      <c r="GA503"/>
      <c r="GB503"/>
      <c r="GC503"/>
      <c r="GD503"/>
      <c r="GE503"/>
      <c r="GF503"/>
      <c r="GG503"/>
      <c r="GH503"/>
      <c r="GI503"/>
      <c r="GJ503"/>
      <c r="GK503"/>
      <c r="GL503"/>
      <c r="GM503"/>
      <c r="GN503"/>
      <c r="GO503"/>
      <c r="GP503"/>
      <c r="GQ503"/>
      <c r="GR503"/>
      <c r="GS503"/>
      <c r="GT503"/>
      <c r="GU503"/>
      <c r="GV503"/>
      <c r="GW503"/>
      <c r="GX503"/>
      <c r="GY503"/>
      <c r="GZ503"/>
      <c r="HA503"/>
      <c r="HB503"/>
      <c r="HC503"/>
      <c r="HD503"/>
      <c r="HE503"/>
      <c r="HF503"/>
      <c r="HG503"/>
      <c r="HH503"/>
      <c r="HI503"/>
      <c r="HJ503"/>
      <c r="HK503"/>
      <c r="HL503"/>
      <c r="HM503"/>
      <c r="HN503"/>
      <c r="HO503"/>
      <c r="HP503"/>
      <c r="HQ503"/>
      <c r="HR503"/>
      <c r="HS503"/>
      <c r="HT503"/>
      <c r="HU503"/>
      <c r="HV503"/>
      <c r="HW503"/>
      <c r="HX503"/>
      <c r="HY503"/>
      <c r="HZ503"/>
      <c r="IA503"/>
      <c r="IB503"/>
      <c r="IC503"/>
      <c r="ID503"/>
      <c r="IE503"/>
      <c r="IF503"/>
      <c r="IG503"/>
      <c r="IH503"/>
      <c r="II503"/>
      <c r="IJ503"/>
      <c r="IK503"/>
      <c r="IL503"/>
      <c r="IM503"/>
      <c r="IN503"/>
      <c r="IO503"/>
      <c r="IP503"/>
      <c r="IQ503"/>
      <c r="IR503"/>
      <c r="IS503"/>
      <c r="IT503"/>
      <c r="IU503"/>
      <c r="IV503"/>
      <c r="IW503"/>
      <c r="IX503"/>
      <c r="IY503"/>
      <c r="IZ503"/>
      <c r="JA503"/>
      <c r="JB503"/>
      <c r="JC503"/>
      <c r="JD503"/>
      <c r="JE503"/>
      <c r="JF503"/>
      <c r="JG503"/>
      <c r="JH503"/>
      <c r="JI503"/>
      <c r="JJ503"/>
      <c r="JK503"/>
      <c r="JL503"/>
      <c r="JM503"/>
      <c r="JN503"/>
      <c r="JO503"/>
      <c r="JP503"/>
      <c r="JQ503"/>
      <c r="JR503"/>
      <c r="JS503"/>
      <c r="JT503"/>
      <c r="JU503"/>
      <c r="JV503"/>
      <c r="JW503"/>
      <c r="JX503"/>
      <c r="JY503"/>
      <c r="JZ503"/>
      <c r="KA503"/>
      <c r="KB503"/>
      <c r="KC503"/>
      <c r="KD503"/>
      <c r="KE503"/>
      <c r="KF503"/>
      <c r="KG503"/>
      <c r="KH503"/>
      <c r="KI503"/>
      <c r="KJ503"/>
      <c r="KK503"/>
      <c r="KL503"/>
      <c r="KM503"/>
      <c r="KN503"/>
      <c r="KO503"/>
      <c r="KP503"/>
      <c r="KQ503"/>
      <c r="KR503"/>
      <c r="KS503"/>
    </row>
    <row r="504" spans="2:305" hidden="1" x14ac:dyDescent="0.25">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M504"/>
      <c r="CN504"/>
      <c r="CO504"/>
      <c r="CP504"/>
      <c r="CQ504"/>
      <c r="CR504"/>
      <c r="CS504"/>
      <c r="CT504"/>
      <c r="CU504"/>
      <c r="CV504"/>
      <c r="CW504"/>
      <c r="CX504"/>
      <c r="CY504"/>
      <c r="CZ504"/>
      <c r="DA504"/>
      <c r="DB504"/>
      <c r="DC504"/>
      <c r="DD504"/>
      <c r="DE504"/>
      <c r="DF504"/>
      <c r="DG504"/>
      <c r="DH504"/>
      <c r="DI504"/>
      <c r="DJ504"/>
      <c r="DK504"/>
      <c r="DL504"/>
      <c r="DM504"/>
      <c r="DN504"/>
      <c r="DO504"/>
      <c r="DP504"/>
      <c r="DQ504"/>
      <c r="DR504"/>
      <c r="DS504"/>
      <c r="DT504"/>
      <c r="DU504"/>
      <c r="DV504"/>
      <c r="DW504"/>
      <c r="DX504"/>
      <c r="DY504"/>
      <c r="DZ504"/>
      <c r="EA504"/>
      <c r="EB504"/>
      <c r="EC504"/>
      <c r="ED504"/>
      <c r="EE504"/>
      <c r="EF504"/>
      <c r="EG504"/>
      <c r="EH504"/>
      <c r="EI504"/>
      <c r="EJ504"/>
      <c r="EK504"/>
      <c r="EL504"/>
      <c r="EM504"/>
      <c r="EN504"/>
      <c r="EO504"/>
      <c r="EP504"/>
      <c r="EQ504"/>
      <c r="ER504"/>
      <c r="ES504"/>
      <c r="ET504"/>
      <c r="EU504"/>
      <c r="EV504"/>
      <c r="EW504"/>
      <c r="EX504"/>
      <c r="EY504"/>
      <c r="EZ504"/>
      <c r="FA504"/>
      <c r="FB504"/>
      <c r="FC504"/>
      <c r="FD504"/>
      <c r="FE504"/>
      <c r="FF504"/>
      <c r="FG504"/>
      <c r="FH504"/>
      <c r="FI504"/>
      <c r="FJ504"/>
      <c r="FK504"/>
      <c r="FL504"/>
      <c r="FM504"/>
      <c r="FN504"/>
      <c r="FO504"/>
      <c r="FP504"/>
      <c r="FQ504"/>
      <c r="FR504"/>
      <c r="FS504"/>
      <c r="FT504"/>
      <c r="FU504"/>
      <c r="FV504"/>
      <c r="FW504"/>
      <c r="FX504"/>
      <c r="FY504"/>
      <c r="FZ504"/>
      <c r="GA504"/>
      <c r="GB504"/>
      <c r="GC504"/>
      <c r="GD504"/>
      <c r="GE504"/>
      <c r="GF504"/>
      <c r="GG504"/>
      <c r="GH504"/>
      <c r="GI504"/>
      <c r="GJ504"/>
      <c r="GK504"/>
      <c r="GL504"/>
      <c r="GM504"/>
      <c r="GN504"/>
      <c r="GO504"/>
      <c r="GP504"/>
      <c r="GQ504"/>
      <c r="GR504"/>
      <c r="GS504"/>
      <c r="GT504"/>
      <c r="GU504"/>
      <c r="GV504"/>
      <c r="GW504"/>
      <c r="GX504"/>
      <c r="GY504"/>
      <c r="GZ504"/>
      <c r="HA504"/>
      <c r="HB504"/>
      <c r="HC504"/>
      <c r="HD504"/>
      <c r="HE504"/>
      <c r="HF504"/>
      <c r="HG504"/>
      <c r="HH504"/>
      <c r="HI504"/>
      <c r="HJ504"/>
      <c r="HK504"/>
      <c r="HL504"/>
      <c r="HM504"/>
      <c r="HN504"/>
      <c r="HO504"/>
      <c r="HP504"/>
      <c r="HQ504"/>
      <c r="HR504"/>
      <c r="HS504"/>
      <c r="HT504"/>
      <c r="HU504"/>
      <c r="HV504"/>
      <c r="HW504"/>
      <c r="HX504"/>
      <c r="HY504"/>
      <c r="HZ504"/>
      <c r="IA504"/>
      <c r="IB504"/>
      <c r="IC504"/>
      <c r="ID504"/>
      <c r="IE504"/>
      <c r="IF504"/>
      <c r="IG504"/>
      <c r="IH504"/>
      <c r="II504"/>
      <c r="IJ504"/>
      <c r="IK504"/>
      <c r="IL504"/>
      <c r="IM504"/>
      <c r="IN504"/>
      <c r="IO504"/>
      <c r="IP504"/>
      <c r="IQ504"/>
      <c r="IR504"/>
      <c r="IS504"/>
      <c r="IT504"/>
      <c r="IU504"/>
      <c r="IV504"/>
      <c r="IW504"/>
      <c r="IX504"/>
      <c r="IY504"/>
      <c r="IZ504"/>
      <c r="JA504"/>
      <c r="JB504"/>
      <c r="JC504"/>
      <c r="JD504"/>
      <c r="JE504"/>
      <c r="JF504"/>
      <c r="JG504"/>
      <c r="JH504"/>
      <c r="JI504"/>
      <c r="JJ504"/>
      <c r="JK504"/>
      <c r="JL504"/>
      <c r="JM504"/>
      <c r="JN504"/>
      <c r="JO504"/>
      <c r="JP504"/>
      <c r="JQ504"/>
      <c r="JR504"/>
      <c r="JS504"/>
      <c r="JT504"/>
      <c r="JU504"/>
      <c r="JV504"/>
      <c r="JW504"/>
      <c r="JX504"/>
      <c r="JY504"/>
      <c r="JZ504"/>
      <c r="KA504"/>
      <c r="KB504"/>
      <c r="KC504"/>
      <c r="KD504"/>
      <c r="KE504"/>
      <c r="KF504"/>
      <c r="KG504"/>
      <c r="KH504"/>
      <c r="KI504"/>
      <c r="KJ504"/>
      <c r="KK504"/>
      <c r="KL504"/>
      <c r="KM504"/>
      <c r="KN504"/>
      <c r="KO504"/>
      <c r="KP504"/>
      <c r="KQ504"/>
      <c r="KR504"/>
      <c r="KS504"/>
    </row>
    <row r="505" spans="2:305" hidden="1" x14ac:dyDescent="0.2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M505"/>
      <c r="CN505"/>
      <c r="CO505"/>
      <c r="CP505"/>
      <c r="CQ505"/>
      <c r="CR505"/>
      <c r="CS505"/>
      <c r="CT505"/>
      <c r="CU505"/>
      <c r="CV505"/>
      <c r="CW505"/>
      <c r="CX505"/>
      <c r="CY505"/>
      <c r="CZ505"/>
      <c r="DA505"/>
      <c r="DB505"/>
      <c r="DC505"/>
      <c r="DD505"/>
      <c r="DE505"/>
      <c r="DF505"/>
      <c r="DG505"/>
      <c r="DH505"/>
      <c r="DI505"/>
      <c r="DJ505"/>
      <c r="DK505"/>
      <c r="DL505"/>
      <c r="DM505"/>
      <c r="DN505"/>
      <c r="DO505"/>
      <c r="DP505"/>
      <c r="DQ505"/>
      <c r="DR505"/>
      <c r="DS505"/>
      <c r="DT505"/>
      <c r="DU505"/>
      <c r="DV505"/>
      <c r="DW505"/>
      <c r="DX505"/>
      <c r="DY505"/>
      <c r="DZ505"/>
      <c r="EA505"/>
      <c r="EB505"/>
      <c r="EC505"/>
      <c r="ED505"/>
      <c r="EE505"/>
      <c r="EF505"/>
      <c r="EG505"/>
      <c r="EH505"/>
      <c r="EI505"/>
      <c r="EJ505"/>
      <c r="EK505"/>
      <c r="EL505"/>
      <c r="EM505"/>
      <c r="EN505"/>
      <c r="EO505"/>
      <c r="EP505"/>
      <c r="EQ505"/>
      <c r="ER505"/>
      <c r="ES505"/>
      <c r="ET505"/>
      <c r="EU505"/>
      <c r="EV505"/>
      <c r="EW505"/>
      <c r="EX505"/>
      <c r="EY505"/>
      <c r="EZ505"/>
      <c r="FA505"/>
      <c r="FB505"/>
      <c r="FC505"/>
      <c r="FD505"/>
      <c r="FE505"/>
      <c r="FF505"/>
      <c r="FG505"/>
      <c r="FH505"/>
      <c r="FI505"/>
      <c r="FJ505"/>
      <c r="FK505"/>
      <c r="FL505"/>
      <c r="FM505"/>
      <c r="FN505"/>
      <c r="FO505"/>
      <c r="FP505"/>
      <c r="FQ505"/>
      <c r="FR505"/>
      <c r="FS505"/>
      <c r="FT505"/>
      <c r="FU505"/>
      <c r="FV505"/>
      <c r="FW505"/>
      <c r="FX505"/>
      <c r="FY505"/>
      <c r="FZ505"/>
      <c r="GA505"/>
      <c r="GB505"/>
      <c r="GC505"/>
      <c r="GD505"/>
      <c r="GE505"/>
      <c r="GF505"/>
      <c r="GG505"/>
      <c r="GH505"/>
      <c r="GI505"/>
      <c r="GJ505"/>
      <c r="GK505"/>
      <c r="GL505"/>
      <c r="GM505"/>
      <c r="GN505"/>
      <c r="GO505"/>
      <c r="GP505"/>
      <c r="GQ505"/>
      <c r="GR505"/>
      <c r="GS505"/>
      <c r="GT505"/>
      <c r="GU505"/>
      <c r="GV505"/>
      <c r="GW505"/>
      <c r="GX505"/>
      <c r="GY505"/>
      <c r="GZ505"/>
      <c r="HA505"/>
      <c r="HB505"/>
      <c r="HC505"/>
      <c r="HD505"/>
      <c r="HE505"/>
      <c r="HF505"/>
      <c r="HG505"/>
      <c r="HH505"/>
      <c r="HI505"/>
      <c r="HJ505"/>
      <c r="HK505"/>
      <c r="HL505"/>
      <c r="HM505"/>
      <c r="HN505"/>
      <c r="HO505"/>
      <c r="HP505"/>
      <c r="HQ505"/>
      <c r="HR505"/>
      <c r="HS505"/>
      <c r="HT505"/>
      <c r="HU505"/>
      <c r="HV505"/>
      <c r="HW505"/>
      <c r="HX505"/>
      <c r="HY505"/>
      <c r="HZ505"/>
      <c r="IA505"/>
      <c r="IB505"/>
      <c r="IC505"/>
      <c r="ID505"/>
      <c r="IE505"/>
      <c r="IF505"/>
      <c r="IG505"/>
      <c r="IH505"/>
      <c r="II505"/>
      <c r="IJ505"/>
      <c r="IK505"/>
      <c r="IL505"/>
      <c r="IM505"/>
      <c r="IN505"/>
      <c r="IO505"/>
      <c r="IP505"/>
      <c r="IQ505"/>
      <c r="IR505"/>
      <c r="IS505"/>
      <c r="IT505"/>
      <c r="IU505"/>
      <c r="IV505"/>
      <c r="IW505"/>
      <c r="IX505"/>
      <c r="IY505"/>
      <c r="IZ505"/>
      <c r="JA505"/>
      <c r="JB505"/>
      <c r="JC505"/>
      <c r="JD505"/>
      <c r="JE505"/>
      <c r="JF505"/>
      <c r="JG505"/>
      <c r="JH505"/>
      <c r="JI505"/>
      <c r="JJ505"/>
      <c r="JK505"/>
      <c r="JL505"/>
      <c r="JM505"/>
      <c r="JN505"/>
      <c r="JO505"/>
      <c r="JP505"/>
      <c r="JQ505"/>
      <c r="JR505"/>
      <c r="JS505"/>
      <c r="JT505"/>
      <c r="JU505"/>
      <c r="JV505"/>
      <c r="JW505"/>
      <c r="JX505"/>
      <c r="JY505"/>
      <c r="JZ505"/>
      <c r="KA505"/>
      <c r="KB505"/>
      <c r="KC505"/>
      <c r="KD505"/>
      <c r="KE505"/>
      <c r="KF505"/>
      <c r="KG505"/>
      <c r="KH505"/>
      <c r="KI505"/>
      <c r="KJ505"/>
      <c r="KK505"/>
      <c r="KL505"/>
      <c r="KM505"/>
      <c r="KN505"/>
      <c r="KO505"/>
      <c r="KP505"/>
      <c r="KQ505"/>
      <c r="KR505"/>
      <c r="KS505"/>
    </row>
    <row r="506" spans="2:305" hidden="1" x14ac:dyDescent="0.25">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M506"/>
      <c r="CN506"/>
      <c r="CO506"/>
      <c r="CP506"/>
      <c r="CQ506"/>
      <c r="CR506"/>
      <c r="CS506"/>
      <c r="CT506"/>
      <c r="CU506"/>
      <c r="CV506"/>
      <c r="CW506"/>
      <c r="CX506"/>
      <c r="CY506"/>
      <c r="CZ506"/>
      <c r="DA506"/>
      <c r="DB506"/>
      <c r="DC506"/>
      <c r="DD506"/>
      <c r="DE506"/>
      <c r="DF506"/>
      <c r="DG506"/>
      <c r="DH506"/>
      <c r="DI506"/>
      <c r="DJ506"/>
      <c r="DK506"/>
      <c r="DL506"/>
      <c r="DM506"/>
      <c r="DN506"/>
      <c r="DO506"/>
      <c r="DP506"/>
      <c r="DQ506"/>
      <c r="DR506"/>
      <c r="DS506"/>
      <c r="DT506"/>
      <c r="DU506"/>
      <c r="DV506"/>
      <c r="DW506"/>
      <c r="DX506"/>
      <c r="DY506"/>
      <c r="DZ506"/>
      <c r="EA506"/>
      <c r="EB506"/>
      <c r="EC506"/>
      <c r="ED506"/>
      <c r="EE506"/>
      <c r="EF506"/>
      <c r="EG506"/>
      <c r="EH506"/>
      <c r="EI506"/>
      <c r="EJ506"/>
      <c r="EK506"/>
      <c r="EL506"/>
      <c r="EM506"/>
      <c r="EN506"/>
      <c r="EO506"/>
      <c r="EP506"/>
      <c r="EQ506"/>
      <c r="ER506"/>
      <c r="ES506"/>
      <c r="ET506"/>
      <c r="EU506"/>
      <c r="EV506"/>
      <c r="EW506"/>
      <c r="EX506"/>
      <c r="EY506"/>
      <c r="EZ506"/>
      <c r="FA506"/>
      <c r="FB506"/>
      <c r="FC506"/>
      <c r="FD506"/>
      <c r="FE506"/>
      <c r="FF506"/>
      <c r="FG506"/>
      <c r="FH506"/>
      <c r="FI506"/>
      <c r="FJ506"/>
      <c r="FK506"/>
      <c r="FL506"/>
      <c r="FM506"/>
      <c r="FN506"/>
      <c r="FO506"/>
      <c r="FP506"/>
      <c r="FQ506"/>
      <c r="FR506"/>
      <c r="FS506"/>
      <c r="FT506"/>
      <c r="FU506"/>
      <c r="FV506"/>
      <c r="FW506"/>
      <c r="FX506"/>
      <c r="FY506"/>
      <c r="FZ506"/>
      <c r="GA506"/>
      <c r="GB506"/>
      <c r="GC506"/>
      <c r="GD506"/>
      <c r="GE506"/>
      <c r="GF506"/>
      <c r="GG506"/>
      <c r="GH506"/>
      <c r="GI506"/>
      <c r="GJ506"/>
      <c r="GK506"/>
      <c r="GL506"/>
      <c r="GM506"/>
      <c r="GN506"/>
      <c r="GO506"/>
      <c r="GP506"/>
      <c r="GQ506"/>
      <c r="GR506"/>
      <c r="GS506"/>
      <c r="GT506"/>
      <c r="GU506"/>
      <c r="GV506"/>
      <c r="GW506"/>
      <c r="GX506"/>
      <c r="GY506"/>
      <c r="GZ506"/>
      <c r="HA506"/>
      <c r="HB506"/>
      <c r="HC506"/>
      <c r="HD506"/>
      <c r="HE506"/>
      <c r="HF506"/>
      <c r="HG506"/>
      <c r="HH506"/>
      <c r="HI506"/>
      <c r="HJ506"/>
      <c r="HK506"/>
      <c r="HL506"/>
      <c r="HM506"/>
      <c r="HN506"/>
      <c r="HO506"/>
      <c r="HP506"/>
      <c r="HQ506"/>
      <c r="HR506"/>
      <c r="HS506"/>
      <c r="HT506"/>
      <c r="HU506"/>
      <c r="HV506"/>
      <c r="HW506"/>
      <c r="HX506"/>
      <c r="HY506"/>
      <c r="HZ506"/>
      <c r="IA506"/>
      <c r="IB506"/>
      <c r="IC506"/>
      <c r="ID506"/>
      <c r="IE506"/>
      <c r="IF506"/>
      <c r="IG506"/>
      <c r="IH506"/>
      <c r="II506"/>
      <c r="IJ506"/>
      <c r="IK506"/>
      <c r="IL506"/>
      <c r="IM506"/>
      <c r="IN506"/>
      <c r="IO506"/>
      <c r="IP506"/>
      <c r="IQ506"/>
      <c r="IR506"/>
      <c r="IS506"/>
      <c r="IT506"/>
      <c r="IU506"/>
      <c r="IV506"/>
      <c r="IW506"/>
      <c r="IX506"/>
      <c r="IY506"/>
      <c r="IZ506"/>
      <c r="JA506"/>
      <c r="JB506"/>
      <c r="JC506"/>
      <c r="JD506"/>
      <c r="JE506"/>
      <c r="JF506"/>
      <c r="JG506"/>
      <c r="JH506"/>
      <c r="JI506"/>
      <c r="JJ506"/>
      <c r="JK506"/>
      <c r="JL506"/>
      <c r="JM506"/>
      <c r="JN506"/>
      <c r="JO506"/>
      <c r="JP506"/>
      <c r="JQ506"/>
      <c r="JR506"/>
      <c r="JS506"/>
      <c r="JT506"/>
      <c r="JU506"/>
      <c r="JV506"/>
      <c r="JW506"/>
      <c r="JX506"/>
      <c r="JY506"/>
      <c r="JZ506"/>
      <c r="KA506"/>
      <c r="KB506"/>
      <c r="KC506"/>
      <c r="KD506"/>
      <c r="KE506"/>
      <c r="KF506"/>
      <c r="KG506"/>
      <c r="KH506"/>
      <c r="KI506"/>
      <c r="KJ506"/>
      <c r="KK506"/>
      <c r="KL506"/>
      <c r="KM506"/>
      <c r="KN506"/>
      <c r="KO506"/>
      <c r="KP506"/>
      <c r="KQ506"/>
      <c r="KR506"/>
      <c r="KS506"/>
    </row>
    <row r="507" spans="2:305" hidden="1" x14ac:dyDescent="0.25">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M507"/>
      <c r="CN507"/>
      <c r="CO507"/>
      <c r="CP507"/>
      <c r="CQ507"/>
      <c r="CR507"/>
      <c r="CS507"/>
      <c r="CT507"/>
      <c r="CU507"/>
      <c r="CV507"/>
      <c r="CW507"/>
      <c r="CX507"/>
      <c r="CY507"/>
      <c r="CZ507"/>
      <c r="DA507"/>
      <c r="DB507"/>
      <c r="DC507"/>
      <c r="DD507"/>
      <c r="DE507"/>
      <c r="DF507"/>
      <c r="DG507"/>
      <c r="DH507"/>
      <c r="DI507"/>
      <c r="DJ507"/>
      <c r="DK507"/>
      <c r="DL507"/>
      <c r="DM507"/>
      <c r="DN507"/>
      <c r="DO507"/>
      <c r="DP507"/>
      <c r="DQ507"/>
      <c r="DR507"/>
      <c r="DS507"/>
      <c r="DT507"/>
      <c r="DU507"/>
      <c r="DV507"/>
      <c r="DW507"/>
      <c r="DX507"/>
      <c r="DY507"/>
      <c r="DZ507"/>
      <c r="EA507"/>
      <c r="EB507"/>
      <c r="EC507"/>
      <c r="ED507"/>
      <c r="EE507"/>
      <c r="EF507"/>
      <c r="EG507"/>
      <c r="EH507"/>
      <c r="EI507"/>
      <c r="EJ507"/>
      <c r="EK507"/>
      <c r="EL507"/>
      <c r="EM507"/>
      <c r="EN507"/>
      <c r="EO507"/>
      <c r="EP507"/>
      <c r="EQ507"/>
      <c r="ER507"/>
      <c r="ES507"/>
      <c r="ET507"/>
      <c r="EU507"/>
      <c r="EV507"/>
      <c r="EW507"/>
      <c r="EX507"/>
      <c r="EY507"/>
      <c r="EZ507"/>
      <c r="FA507"/>
      <c r="FB507"/>
      <c r="FC507"/>
      <c r="FD507"/>
      <c r="FE507"/>
      <c r="FF507"/>
      <c r="FG507"/>
      <c r="FH507"/>
      <c r="FI507"/>
      <c r="FJ507"/>
      <c r="FK507"/>
      <c r="FL507"/>
      <c r="FM507"/>
      <c r="FN507"/>
      <c r="FO507"/>
      <c r="FP507"/>
      <c r="FQ507"/>
      <c r="FR507"/>
      <c r="FS507"/>
      <c r="FT507"/>
      <c r="FU507"/>
      <c r="FV507"/>
      <c r="FW507"/>
      <c r="FX507"/>
      <c r="FY507"/>
      <c r="FZ507"/>
      <c r="GA507"/>
      <c r="GB507"/>
      <c r="GC507"/>
      <c r="GD507"/>
      <c r="GE507"/>
      <c r="GF507"/>
      <c r="GG507"/>
      <c r="GH507"/>
      <c r="GI507"/>
      <c r="GJ507"/>
      <c r="GK507"/>
      <c r="GL507"/>
      <c r="GM507"/>
      <c r="GN507"/>
      <c r="GO507"/>
      <c r="GP507"/>
      <c r="GQ507"/>
      <c r="GR507"/>
      <c r="GS507"/>
      <c r="GT507"/>
      <c r="GU507"/>
      <c r="GV507"/>
      <c r="GW507"/>
      <c r="GX507"/>
      <c r="GY507"/>
      <c r="GZ507"/>
      <c r="HA507"/>
      <c r="HB507"/>
      <c r="HC507"/>
      <c r="HD507"/>
      <c r="HE507"/>
      <c r="HF507"/>
      <c r="HG507"/>
      <c r="HH507"/>
      <c r="HI507"/>
      <c r="HJ507"/>
      <c r="HK507"/>
      <c r="HL507"/>
      <c r="HM507"/>
      <c r="HN507"/>
      <c r="HO507"/>
      <c r="HP507"/>
      <c r="HQ507"/>
      <c r="HR507"/>
      <c r="HS507"/>
      <c r="HT507"/>
      <c r="HU507"/>
      <c r="HV507"/>
      <c r="HW507"/>
      <c r="HX507"/>
      <c r="HY507"/>
      <c r="HZ507"/>
      <c r="IA507"/>
      <c r="IB507"/>
      <c r="IC507"/>
      <c r="ID507"/>
      <c r="IE507"/>
      <c r="IF507"/>
      <c r="IG507"/>
      <c r="IH507"/>
      <c r="II507"/>
      <c r="IJ507"/>
      <c r="IK507"/>
      <c r="IL507"/>
      <c r="IM507"/>
      <c r="IN507"/>
      <c r="IO507"/>
      <c r="IP507"/>
      <c r="IQ507"/>
      <c r="IR507"/>
      <c r="IS507"/>
      <c r="IT507"/>
      <c r="IU507"/>
      <c r="IV507"/>
      <c r="IW507"/>
      <c r="IX507"/>
      <c r="IY507"/>
      <c r="IZ507"/>
      <c r="JA507"/>
      <c r="JB507"/>
      <c r="JC507"/>
      <c r="JD507"/>
      <c r="JE507"/>
      <c r="JF507"/>
      <c r="JG507"/>
      <c r="JH507"/>
      <c r="JI507"/>
      <c r="JJ507"/>
      <c r="JK507"/>
      <c r="JL507"/>
      <c r="JM507"/>
      <c r="JN507"/>
      <c r="JO507"/>
      <c r="JP507"/>
      <c r="JQ507"/>
      <c r="JR507"/>
      <c r="JS507"/>
      <c r="JT507"/>
      <c r="JU507"/>
      <c r="JV507"/>
      <c r="JW507"/>
      <c r="JX507"/>
      <c r="JY507"/>
      <c r="JZ507"/>
      <c r="KA507"/>
      <c r="KB507"/>
      <c r="KC507"/>
      <c r="KD507"/>
      <c r="KE507"/>
      <c r="KF507"/>
      <c r="KG507"/>
      <c r="KH507"/>
      <c r="KI507"/>
      <c r="KJ507"/>
      <c r="KK507"/>
      <c r="KL507"/>
      <c r="KM507"/>
      <c r="KN507"/>
      <c r="KO507"/>
      <c r="KP507"/>
      <c r="KQ507"/>
      <c r="KR507"/>
      <c r="KS507"/>
    </row>
    <row r="508" spans="2:305" hidden="1" x14ac:dyDescent="0.25">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M508"/>
      <c r="CN508"/>
      <c r="CO508"/>
      <c r="CP508"/>
      <c r="CQ508"/>
      <c r="CR508"/>
      <c r="CS508"/>
      <c r="CT508"/>
      <c r="CU508"/>
      <c r="CV508"/>
      <c r="CW508"/>
      <c r="CX508"/>
      <c r="CY508"/>
      <c r="CZ508"/>
      <c r="DA508"/>
      <c r="DB508"/>
      <c r="DC508"/>
      <c r="DD508"/>
      <c r="DE508"/>
      <c r="DF508"/>
      <c r="DG508"/>
      <c r="DH508"/>
      <c r="DI508"/>
      <c r="DJ508"/>
      <c r="DK508"/>
      <c r="DL508"/>
      <c r="DM508"/>
      <c r="DN508"/>
      <c r="DO508"/>
      <c r="DP508"/>
      <c r="DQ508"/>
      <c r="DR508"/>
      <c r="DS508"/>
      <c r="DT508"/>
      <c r="DU508"/>
      <c r="DV508"/>
      <c r="DW508"/>
      <c r="DX508"/>
      <c r="DY508"/>
      <c r="DZ508"/>
      <c r="EA508"/>
      <c r="EB508"/>
      <c r="EC508"/>
      <c r="ED508"/>
      <c r="EE508"/>
      <c r="EF508"/>
      <c r="EG508"/>
      <c r="EH508"/>
      <c r="EI508"/>
      <c r="EJ508"/>
      <c r="EK508"/>
      <c r="EL508"/>
      <c r="EM508"/>
      <c r="EN508"/>
      <c r="EO508"/>
      <c r="EP508"/>
      <c r="EQ508"/>
      <c r="ER508"/>
      <c r="ES508"/>
      <c r="ET508"/>
      <c r="EU508"/>
      <c r="EV508"/>
      <c r="EW508"/>
      <c r="EX508"/>
      <c r="EY508"/>
      <c r="EZ508"/>
      <c r="FA508"/>
      <c r="FB508"/>
      <c r="FC508"/>
      <c r="FD508"/>
      <c r="FE508"/>
      <c r="FF508"/>
      <c r="FG508"/>
      <c r="FH508"/>
      <c r="FI508"/>
      <c r="FJ508"/>
      <c r="FK508"/>
      <c r="FL508"/>
      <c r="FM508"/>
      <c r="FN508"/>
      <c r="FO508"/>
      <c r="FP508"/>
      <c r="FQ508"/>
      <c r="FR508"/>
      <c r="FS508"/>
      <c r="FT508"/>
      <c r="FU508"/>
      <c r="FV508"/>
      <c r="FW508"/>
      <c r="FX508"/>
      <c r="FY508"/>
      <c r="FZ508"/>
      <c r="GA508"/>
      <c r="GB508"/>
      <c r="GC508"/>
      <c r="GD508"/>
      <c r="GE508"/>
      <c r="GF508"/>
      <c r="GG508"/>
      <c r="GH508"/>
      <c r="GI508"/>
      <c r="GJ508"/>
      <c r="GK508"/>
      <c r="GL508"/>
      <c r="GM508"/>
      <c r="GN508"/>
      <c r="GO508"/>
      <c r="GP508"/>
      <c r="GQ508"/>
      <c r="GR508"/>
      <c r="GS508"/>
      <c r="GT508"/>
      <c r="GU508"/>
      <c r="GV508"/>
      <c r="GW508"/>
      <c r="GX508"/>
      <c r="GY508"/>
      <c r="GZ508"/>
      <c r="HA508"/>
      <c r="HB508"/>
      <c r="HC508"/>
      <c r="HD508"/>
      <c r="HE508"/>
      <c r="HF508"/>
      <c r="HG508"/>
      <c r="HH508"/>
      <c r="HI508"/>
      <c r="HJ508"/>
      <c r="HK508"/>
      <c r="HL508"/>
      <c r="HM508"/>
      <c r="HN508"/>
      <c r="HO508"/>
      <c r="HP508"/>
      <c r="HQ508"/>
      <c r="HR508"/>
      <c r="HS508"/>
      <c r="HT508"/>
      <c r="HU508"/>
      <c r="HV508"/>
      <c r="HW508"/>
      <c r="HX508"/>
      <c r="HY508"/>
      <c r="HZ508"/>
      <c r="IA508"/>
      <c r="IB508"/>
      <c r="IC508"/>
      <c r="ID508"/>
      <c r="IE508"/>
      <c r="IF508"/>
      <c r="IG508"/>
      <c r="IH508"/>
      <c r="II508"/>
      <c r="IJ508"/>
      <c r="IK508"/>
      <c r="IL508"/>
      <c r="IM508"/>
      <c r="IN508"/>
      <c r="IO508"/>
      <c r="IP508"/>
      <c r="IQ508"/>
      <c r="IR508"/>
      <c r="IS508"/>
      <c r="IT508"/>
      <c r="IU508"/>
      <c r="IV508"/>
      <c r="IW508"/>
      <c r="IX508"/>
      <c r="IY508"/>
      <c r="IZ508"/>
      <c r="JA508"/>
      <c r="JB508"/>
      <c r="JC508"/>
      <c r="JD508"/>
      <c r="JE508"/>
      <c r="JF508"/>
      <c r="JG508"/>
      <c r="JH508"/>
      <c r="JI508"/>
      <c r="JJ508"/>
      <c r="JK508"/>
      <c r="JL508"/>
      <c r="JM508"/>
      <c r="JN508"/>
      <c r="JO508"/>
      <c r="JP508"/>
      <c r="JQ508"/>
      <c r="JR508"/>
      <c r="JS508"/>
      <c r="JT508"/>
      <c r="JU508"/>
      <c r="JV508"/>
      <c r="JW508"/>
      <c r="JX508"/>
      <c r="JY508"/>
      <c r="JZ508"/>
      <c r="KA508"/>
      <c r="KB508"/>
      <c r="KC508"/>
      <c r="KD508"/>
      <c r="KE508"/>
      <c r="KF508"/>
      <c r="KG508"/>
      <c r="KH508"/>
      <c r="KI508"/>
      <c r="KJ508"/>
      <c r="KK508"/>
      <c r="KL508"/>
      <c r="KM508"/>
      <c r="KN508"/>
      <c r="KO508"/>
      <c r="KP508"/>
      <c r="KQ508"/>
      <c r="KR508"/>
      <c r="KS508"/>
    </row>
    <row r="509" spans="2:305" hidden="1" x14ac:dyDescent="0.25">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M509"/>
      <c r="CN509"/>
      <c r="CO509"/>
      <c r="CP509"/>
      <c r="CQ509"/>
      <c r="CR509"/>
      <c r="CS509"/>
      <c r="CT509"/>
      <c r="CU509"/>
      <c r="CV509"/>
      <c r="CW509"/>
      <c r="CX509"/>
      <c r="CY509"/>
      <c r="CZ509"/>
      <c r="DA509"/>
      <c r="DB509"/>
      <c r="DC509"/>
      <c r="DD509"/>
      <c r="DE509"/>
      <c r="DF509"/>
      <c r="DG509"/>
      <c r="DH509"/>
      <c r="DI509"/>
      <c r="DJ509"/>
      <c r="DK509"/>
      <c r="DL509"/>
      <c r="DM509"/>
      <c r="DN509"/>
      <c r="DO509"/>
      <c r="DP509"/>
      <c r="DQ509"/>
      <c r="DR509"/>
      <c r="DS509"/>
      <c r="DT509"/>
      <c r="DU509"/>
      <c r="DV509"/>
      <c r="DW509"/>
      <c r="DX509"/>
      <c r="DY509"/>
      <c r="DZ509"/>
      <c r="EA509"/>
      <c r="EB509"/>
      <c r="EC509"/>
      <c r="ED509"/>
      <c r="EE509"/>
      <c r="EF509"/>
      <c r="EG509"/>
      <c r="EH509"/>
      <c r="EI509"/>
      <c r="EJ509"/>
      <c r="EK509"/>
      <c r="EL509"/>
      <c r="EM509"/>
      <c r="EN509"/>
      <c r="EO509"/>
      <c r="EP509"/>
      <c r="EQ509"/>
      <c r="ER509"/>
      <c r="ES509"/>
      <c r="ET509"/>
      <c r="EU509"/>
      <c r="EV509"/>
      <c r="EW509"/>
      <c r="EX509"/>
      <c r="EY509"/>
      <c r="EZ509"/>
      <c r="FA509"/>
      <c r="FB509"/>
      <c r="FC509"/>
      <c r="FD509"/>
      <c r="FE509"/>
      <c r="FF509"/>
      <c r="FG509"/>
      <c r="FH509"/>
      <c r="FI509"/>
      <c r="FJ509"/>
      <c r="FK509"/>
      <c r="FL509"/>
      <c r="FM509"/>
      <c r="FN509"/>
      <c r="FO509"/>
      <c r="FP509"/>
      <c r="FQ509"/>
      <c r="FR509"/>
      <c r="FS509"/>
      <c r="FT509"/>
      <c r="FU509"/>
      <c r="FV509"/>
      <c r="FW509"/>
      <c r="FX509"/>
      <c r="FY509"/>
      <c r="FZ509"/>
      <c r="GA509"/>
      <c r="GB509"/>
      <c r="GC509"/>
      <c r="GD509"/>
      <c r="GE509"/>
      <c r="GF509"/>
      <c r="GG509"/>
      <c r="GH509"/>
      <c r="GI509"/>
      <c r="GJ509"/>
      <c r="GK509"/>
      <c r="GL509"/>
      <c r="GM509"/>
      <c r="GN509"/>
      <c r="GO509"/>
      <c r="GP509"/>
      <c r="GQ509"/>
      <c r="GR509"/>
      <c r="GS509"/>
      <c r="GT509"/>
      <c r="GU509"/>
      <c r="GV509"/>
      <c r="GW509"/>
      <c r="GX509"/>
      <c r="GY509"/>
      <c r="GZ509"/>
      <c r="HA509"/>
      <c r="HB509"/>
      <c r="HC509"/>
      <c r="HD509"/>
      <c r="HE509"/>
      <c r="HF509"/>
      <c r="HG509"/>
      <c r="HH509"/>
      <c r="HI509"/>
      <c r="HJ509"/>
      <c r="HK509"/>
      <c r="HL509"/>
      <c r="HM509"/>
      <c r="HN509"/>
      <c r="HO509"/>
      <c r="HP509"/>
      <c r="HQ509"/>
      <c r="HR509"/>
      <c r="HS509"/>
      <c r="HT509"/>
      <c r="HU509"/>
      <c r="HV509"/>
      <c r="HW509"/>
      <c r="HX509"/>
      <c r="HY509"/>
      <c r="HZ509"/>
      <c r="IA509"/>
      <c r="IB509"/>
      <c r="IC509"/>
      <c r="ID509"/>
      <c r="IE509"/>
      <c r="IF509"/>
      <c r="IG509"/>
      <c r="IH509"/>
      <c r="II509"/>
      <c r="IJ509"/>
      <c r="IK509"/>
      <c r="IL509"/>
      <c r="IM509"/>
      <c r="IN509"/>
      <c r="IO509"/>
      <c r="IP509"/>
      <c r="IQ509"/>
      <c r="IR509"/>
      <c r="IS509"/>
      <c r="IT509"/>
      <c r="IU509"/>
      <c r="IV509"/>
      <c r="IW509"/>
      <c r="IX509"/>
      <c r="IY509"/>
      <c r="IZ509"/>
      <c r="JA509"/>
      <c r="JB509"/>
      <c r="JC509"/>
      <c r="JD509"/>
      <c r="JE509"/>
      <c r="JF509"/>
      <c r="JG509"/>
      <c r="JH509"/>
      <c r="JI509"/>
      <c r="JJ509"/>
      <c r="JK509"/>
      <c r="JL509"/>
      <c r="JM509"/>
      <c r="JN509"/>
      <c r="JO509"/>
      <c r="JP509"/>
      <c r="JQ509"/>
      <c r="JR509"/>
      <c r="JS509"/>
      <c r="JT509"/>
      <c r="JU509"/>
      <c r="JV509"/>
      <c r="JW509"/>
      <c r="JX509"/>
      <c r="JY509"/>
      <c r="JZ509"/>
      <c r="KA509"/>
      <c r="KB509"/>
      <c r="KC509"/>
      <c r="KD509"/>
      <c r="KE509"/>
      <c r="KF509"/>
      <c r="KG509"/>
      <c r="KH509"/>
      <c r="KI509"/>
      <c r="KJ509"/>
      <c r="KK509"/>
      <c r="KL509"/>
      <c r="KM509"/>
      <c r="KN509"/>
      <c r="KO509"/>
      <c r="KP509"/>
      <c r="KQ509"/>
      <c r="KR509"/>
      <c r="KS509"/>
    </row>
    <row r="510" spans="2:305" hidden="1" x14ac:dyDescent="0.25">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M510"/>
      <c r="CN510"/>
      <c r="CO510"/>
      <c r="CP510"/>
      <c r="CQ510"/>
      <c r="CR510"/>
      <c r="CS510"/>
      <c r="CT510"/>
      <c r="CU510"/>
      <c r="CV510"/>
      <c r="CW510"/>
      <c r="CX510"/>
      <c r="CY510"/>
      <c r="CZ510"/>
      <c r="DA510"/>
      <c r="DB510"/>
      <c r="DC510"/>
      <c r="DD510"/>
      <c r="DE510"/>
      <c r="DF510"/>
      <c r="DG510"/>
      <c r="DH510"/>
      <c r="DI510"/>
      <c r="DJ510"/>
      <c r="DK510"/>
      <c r="DL510"/>
      <c r="DM510"/>
      <c r="DN510"/>
      <c r="DO510"/>
      <c r="DP510"/>
      <c r="DQ510"/>
      <c r="DR510"/>
      <c r="DS510"/>
      <c r="DT510"/>
      <c r="DU510"/>
      <c r="DV510"/>
      <c r="DW510"/>
      <c r="DX510"/>
      <c r="DY510"/>
      <c r="DZ510"/>
      <c r="EA510"/>
      <c r="EB510"/>
      <c r="EC510"/>
      <c r="ED510"/>
      <c r="EE510"/>
      <c r="EF510"/>
      <c r="EG510"/>
      <c r="EH510"/>
      <c r="EI510"/>
      <c r="EJ510"/>
      <c r="EK510"/>
      <c r="EL510"/>
      <c r="EM510"/>
      <c r="EN510"/>
      <c r="EO510"/>
      <c r="EP510"/>
      <c r="EQ510"/>
      <c r="ER510"/>
      <c r="ES510"/>
      <c r="ET510"/>
      <c r="EU510"/>
      <c r="EV510"/>
      <c r="EW510"/>
      <c r="EX510"/>
      <c r="EY510"/>
      <c r="EZ510"/>
      <c r="FA510"/>
      <c r="FB510"/>
      <c r="FC510"/>
      <c r="FD510"/>
      <c r="FE510"/>
      <c r="FF510"/>
      <c r="FG510"/>
      <c r="FH510"/>
      <c r="FI510"/>
      <c r="FJ510"/>
      <c r="FK510"/>
      <c r="FL510"/>
      <c r="FM510"/>
      <c r="FN510"/>
      <c r="FO510"/>
      <c r="FP510"/>
      <c r="FQ510"/>
      <c r="FR510"/>
      <c r="FS510"/>
      <c r="FT510"/>
      <c r="FU510"/>
      <c r="FV510"/>
      <c r="FW510"/>
      <c r="FX510"/>
      <c r="FY510"/>
      <c r="FZ510"/>
      <c r="GA510"/>
      <c r="GB510"/>
      <c r="GC510"/>
      <c r="GD510"/>
      <c r="GE510"/>
      <c r="GF510"/>
      <c r="GG510"/>
      <c r="GH510"/>
      <c r="GI510"/>
      <c r="GJ510"/>
      <c r="GK510"/>
      <c r="GL510"/>
      <c r="GM510"/>
      <c r="GN510"/>
      <c r="GO510"/>
      <c r="GP510"/>
      <c r="GQ510"/>
      <c r="GR510"/>
      <c r="GS510"/>
      <c r="GT510"/>
      <c r="GU510"/>
      <c r="GV510"/>
      <c r="GW510"/>
      <c r="GX510"/>
      <c r="GY510"/>
      <c r="GZ510"/>
      <c r="HA510"/>
      <c r="HB510"/>
      <c r="HC510"/>
      <c r="HD510"/>
      <c r="HE510"/>
      <c r="HF510"/>
      <c r="HG510"/>
      <c r="HH510"/>
      <c r="HI510"/>
      <c r="HJ510"/>
      <c r="HK510"/>
      <c r="HL510"/>
      <c r="HM510"/>
      <c r="HN510"/>
      <c r="HO510"/>
      <c r="HP510"/>
      <c r="HQ510"/>
      <c r="HR510"/>
      <c r="HS510"/>
      <c r="HT510"/>
      <c r="HU510"/>
      <c r="HV510"/>
      <c r="HW510"/>
      <c r="HX510"/>
      <c r="HY510"/>
      <c r="HZ510"/>
      <c r="IA510"/>
      <c r="IB510"/>
      <c r="IC510"/>
      <c r="ID510"/>
      <c r="IE510"/>
      <c r="IF510"/>
      <c r="IG510"/>
      <c r="IH510"/>
      <c r="II510"/>
      <c r="IJ510"/>
      <c r="IK510"/>
      <c r="IL510"/>
      <c r="IM510"/>
      <c r="IN510"/>
      <c r="IO510"/>
      <c r="IP510"/>
      <c r="IQ510"/>
      <c r="IR510"/>
      <c r="IS510"/>
      <c r="IT510"/>
      <c r="IU510"/>
      <c r="IV510"/>
      <c r="IW510"/>
      <c r="IX510"/>
      <c r="IY510"/>
      <c r="IZ510"/>
      <c r="JA510"/>
      <c r="JB510"/>
      <c r="JC510"/>
      <c r="JD510"/>
      <c r="JE510"/>
      <c r="JF510"/>
      <c r="JG510"/>
      <c r="JH510"/>
      <c r="JI510"/>
      <c r="JJ510"/>
      <c r="JK510"/>
      <c r="JL510"/>
      <c r="JM510"/>
      <c r="JN510"/>
      <c r="JO510"/>
      <c r="JP510"/>
      <c r="JQ510"/>
      <c r="JR510"/>
      <c r="JS510"/>
      <c r="JT510"/>
      <c r="JU510"/>
      <c r="JV510"/>
      <c r="JW510"/>
      <c r="JX510"/>
      <c r="JY510"/>
      <c r="JZ510"/>
      <c r="KA510"/>
      <c r="KB510"/>
      <c r="KC510"/>
      <c r="KD510"/>
      <c r="KE510"/>
      <c r="KF510"/>
      <c r="KG510"/>
      <c r="KH510"/>
      <c r="KI510"/>
      <c r="KJ510"/>
      <c r="KK510"/>
      <c r="KL510"/>
      <c r="KM510"/>
      <c r="KN510"/>
      <c r="KO510"/>
      <c r="KP510"/>
      <c r="KQ510"/>
      <c r="KR510"/>
      <c r="KS510"/>
    </row>
    <row r="511" spans="2:305" hidden="1" x14ac:dyDescent="0.25">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M511"/>
      <c r="CN511"/>
      <c r="CO511"/>
      <c r="CP511"/>
      <c r="CQ511"/>
      <c r="CR511"/>
      <c r="CS511"/>
      <c r="CT511"/>
      <c r="CU511"/>
      <c r="CV511"/>
      <c r="CW511"/>
      <c r="CX511"/>
      <c r="CY511"/>
      <c r="CZ511"/>
      <c r="DA511"/>
      <c r="DB511"/>
      <c r="DC511"/>
      <c r="DD511"/>
      <c r="DE511"/>
      <c r="DF511"/>
      <c r="DG511"/>
      <c r="DH511"/>
      <c r="DI511"/>
      <c r="DJ511"/>
      <c r="DK511"/>
      <c r="DL511"/>
      <c r="DM511"/>
      <c r="DN511"/>
      <c r="DO511"/>
      <c r="DP511"/>
      <c r="DQ511"/>
      <c r="DR511"/>
      <c r="DS511"/>
      <c r="DT511"/>
      <c r="DU511"/>
      <c r="DV511"/>
      <c r="DW511"/>
      <c r="DX511"/>
      <c r="DY511"/>
      <c r="DZ511"/>
      <c r="EA511"/>
      <c r="EB511"/>
      <c r="EC511"/>
      <c r="ED511"/>
      <c r="EE511"/>
      <c r="EF511"/>
      <c r="EG511"/>
      <c r="EH511"/>
      <c r="EI511"/>
      <c r="EJ511"/>
      <c r="EK511"/>
      <c r="EL511"/>
      <c r="EM511"/>
      <c r="EN511"/>
      <c r="EO511"/>
      <c r="EP511"/>
      <c r="EQ511"/>
      <c r="ER511"/>
      <c r="ES511"/>
      <c r="ET511"/>
      <c r="EU511"/>
      <c r="EV511"/>
      <c r="EW511"/>
      <c r="EX511"/>
      <c r="EY511"/>
      <c r="EZ511"/>
      <c r="FA511"/>
      <c r="FB511"/>
      <c r="FC511"/>
      <c r="FD511"/>
      <c r="FE511"/>
      <c r="FF511"/>
      <c r="FG511"/>
      <c r="FH511"/>
      <c r="FI511"/>
      <c r="FJ511"/>
      <c r="FK511"/>
      <c r="FL511"/>
      <c r="FM511"/>
      <c r="FN511"/>
      <c r="FO511"/>
      <c r="FP511"/>
      <c r="FQ511"/>
      <c r="FR511"/>
      <c r="FS511"/>
      <c r="FT511"/>
      <c r="FU511"/>
      <c r="FV511"/>
      <c r="FW511"/>
      <c r="FX511"/>
      <c r="FY511"/>
      <c r="FZ511"/>
      <c r="GA511"/>
      <c r="GB511"/>
      <c r="GC511"/>
      <c r="GD511"/>
      <c r="GE511"/>
      <c r="GF511"/>
      <c r="GG511"/>
      <c r="GH511"/>
      <c r="GI511"/>
      <c r="GJ511"/>
      <c r="GK511"/>
      <c r="GL511"/>
      <c r="GM511"/>
      <c r="GN511"/>
      <c r="GO511"/>
      <c r="GP511"/>
      <c r="GQ511"/>
      <c r="GR511"/>
      <c r="GS511"/>
      <c r="GT511"/>
      <c r="GU511"/>
      <c r="GV511"/>
      <c r="GW511"/>
      <c r="GX511"/>
      <c r="GY511"/>
      <c r="GZ511"/>
      <c r="HA511"/>
      <c r="HB511"/>
      <c r="HC511"/>
      <c r="HD511"/>
      <c r="HE511"/>
      <c r="HF511"/>
      <c r="HG511"/>
      <c r="HH511"/>
      <c r="HI511"/>
      <c r="HJ511"/>
      <c r="HK511"/>
      <c r="HL511"/>
      <c r="HM511"/>
      <c r="HN511"/>
      <c r="HO511"/>
      <c r="HP511"/>
      <c r="HQ511"/>
      <c r="HR511"/>
      <c r="HS511"/>
      <c r="HT511"/>
      <c r="HU511"/>
      <c r="HV511"/>
      <c r="HW511"/>
      <c r="HX511"/>
      <c r="HY511"/>
      <c r="HZ511"/>
      <c r="IA511"/>
      <c r="IB511"/>
      <c r="IC511"/>
      <c r="ID511"/>
      <c r="IE511"/>
      <c r="IF511"/>
      <c r="IG511"/>
      <c r="IH511"/>
      <c r="II511"/>
      <c r="IJ511"/>
      <c r="IK511"/>
      <c r="IL511"/>
      <c r="IM511"/>
      <c r="IN511"/>
      <c r="IO511"/>
      <c r="IP511"/>
      <c r="IQ511"/>
      <c r="IR511"/>
      <c r="IS511"/>
      <c r="IT511"/>
      <c r="IU511"/>
      <c r="IV511"/>
      <c r="IW511"/>
      <c r="IX511"/>
      <c r="IY511"/>
      <c r="IZ511"/>
      <c r="JA511"/>
      <c r="JB511"/>
      <c r="JC511"/>
      <c r="JD511"/>
      <c r="JE511"/>
      <c r="JF511"/>
      <c r="JG511"/>
      <c r="JH511"/>
      <c r="JI511"/>
      <c r="JJ511"/>
      <c r="JK511"/>
      <c r="JL511"/>
      <c r="JM511"/>
      <c r="JN511"/>
      <c r="JO511"/>
      <c r="JP511"/>
      <c r="JQ511"/>
      <c r="JR511"/>
      <c r="JS511"/>
      <c r="JT511"/>
      <c r="JU511"/>
      <c r="JV511"/>
      <c r="JW511"/>
      <c r="JX511"/>
      <c r="JY511"/>
      <c r="JZ511"/>
      <c r="KA511"/>
      <c r="KB511"/>
      <c r="KC511"/>
      <c r="KD511"/>
      <c r="KE511"/>
      <c r="KF511"/>
      <c r="KG511"/>
      <c r="KH511"/>
      <c r="KI511"/>
      <c r="KJ511"/>
      <c r="KK511"/>
      <c r="KL511"/>
      <c r="KM511"/>
      <c r="KN511"/>
      <c r="KO511"/>
      <c r="KP511"/>
      <c r="KQ511"/>
      <c r="KR511"/>
      <c r="KS511"/>
    </row>
    <row r="512" spans="2:305" hidden="1" x14ac:dyDescent="0.25">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M512"/>
      <c r="CN512"/>
      <c r="CO512"/>
      <c r="CP512"/>
      <c r="CQ512"/>
      <c r="CR512"/>
      <c r="CS512"/>
      <c r="CT512"/>
      <c r="CU512"/>
      <c r="CV512"/>
      <c r="CW512"/>
      <c r="CX512"/>
      <c r="CY512"/>
      <c r="CZ512"/>
      <c r="DA512"/>
      <c r="DB512"/>
      <c r="DC512"/>
      <c r="DD512"/>
      <c r="DE512"/>
      <c r="DF512"/>
      <c r="DG512"/>
      <c r="DH512"/>
      <c r="DI512"/>
      <c r="DJ512"/>
      <c r="DK512"/>
      <c r="DL512"/>
      <c r="DM512"/>
      <c r="DN512"/>
      <c r="DO512"/>
      <c r="DP512"/>
      <c r="DQ512"/>
      <c r="DR512"/>
      <c r="DS512"/>
      <c r="DT512"/>
      <c r="DU512"/>
      <c r="DV512"/>
      <c r="DW512"/>
      <c r="DX512"/>
      <c r="DY512"/>
      <c r="DZ512"/>
      <c r="EA512"/>
      <c r="EB512"/>
      <c r="EC512"/>
      <c r="ED512"/>
      <c r="EE512"/>
      <c r="EF512"/>
      <c r="EG512"/>
      <c r="EH512"/>
      <c r="EI512"/>
      <c r="EJ512"/>
      <c r="EK512"/>
      <c r="EL512"/>
      <c r="EM512"/>
      <c r="EN512"/>
      <c r="EO512"/>
      <c r="EP512"/>
      <c r="EQ512"/>
      <c r="ER512"/>
      <c r="ES512"/>
      <c r="ET512"/>
      <c r="EU512"/>
      <c r="EV512"/>
      <c r="EW512"/>
      <c r="EX512"/>
      <c r="EY512"/>
      <c r="EZ512"/>
      <c r="FA512"/>
      <c r="FB512"/>
      <c r="FC512"/>
      <c r="FD512"/>
      <c r="FE512"/>
      <c r="FF512"/>
      <c r="FG512"/>
      <c r="FH512"/>
      <c r="FI512"/>
      <c r="FJ512"/>
      <c r="FK512"/>
      <c r="FL512"/>
      <c r="FM512"/>
      <c r="FN512"/>
      <c r="FO512"/>
      <c r="FP512"/>
      <c r="FQ512"/>
      <c r="FR512"/>
      <c r="FS512"/>
      <c r="FT512"/>
      <c r="FU512"/>
      <c r="FV512"/>
      <c r="FW512"/>
      <c r="FX512"/>
      <c r="FY512"/>
      <c r="FZ512"/>
      <c r="GA512"/>
      <c r="GB512"/>
      <c r="GC512"/>
      <c r="GD512"/>
      <c r="GE512"/>
      <c r="GF512"/>
      <c r="GG512"/>
      <c r="GH512"/>
      <c r="GI512"/>
      <c r="GJ512"/>
      <c r="GK512"/>
      <c r="GL512"/>
      <c r="GM512"/>
      <c r="GN512"/>
      <c r="GO512"/>
      <c r="GP512"/>
      <c r="GQ512"/>
      <c r="GR512"/>
      <c r="GS512"/>
      <c r="GT512"/>
      <c r="GU512"/>
      <c r="GV512"/>
      <c r="GW512"/>
      <c r="GX512"/>
      <c r="GY512"/>
      <c r="GZ512"/>
      <c r="HA512"/>
      <c r="HB512"/>
      <c r="HC512"/>
      <c r="HD512"/>
      <c r="HE512"/>
      <c r="HF512"/>
      <c r="HG512"/>
      <c r="HH512"/>
      <c r="HI512"/>
      <c r="HJ512"/>
      <c r="HK512"/>
      <c r="HL512"/>
      <c r="HM512"/>
      <c r="HN512"/>
      <c r="HO512"/>
      <c r="HP512"/>
      <c r="HQ512"/>
      <c r="HR512"/>
      <c r="HS512"/>
      <c r="HT512"/>
      <c r="HU512"/>
      <c r="HV512"/>
      <c r="HW512"/>
      <c r="HX512"/>
      <c r="HY512"/>
      <c r="HZ512"/>
      <c r="IA512"/>
      <c r="IB512"/>
      <c r="IC512"/>
      <c r="ID512"/>
      <c r="IE512"/>
      <c r="IF512"/>
      <c r="IG512"/>
      <c r="IH512"/>
      <c r="II512"/>
      <c r="IJ512"/>
      <c r="IK512"/>
      <c r="IL512"/>
      <c r="IM512"/>
      <c r="IN512"/>
      <c r="IO512"/>
      <c r="IP512"/>
      <c r="IQ512"/>
      <c r="IR512"/>
      <c r="IS512"/>
      <c r="IT512"/>
      <c r="IU512"/>
      <c r="IV512"/>
      <c r="IW512"/>
      <c r="IX512"/>
      <c r="IY512"/>
      <c r="IZ512"/>
      <c r="JA512"/>
      <c r="JB512"/>
      <c r="JC512"/>
      <c r="JD512"/>
      <c r="JE512"/>
      <c r="JF512"/>
      <c r="JG512"/>
      <c r="JH512"/>
      <c r="JI512"/>
      <c r="JJ512"/>
      <c r="JK512"/>
      <c r="JL512"/>
      <c r="JM512"/>
      <c r="JN512"/>
      <c r="JO512"/>
      <c r="JP512"/>
      <c r="JQ512"/>
      <c r="JR512"/>
      <c r="JS512"/>
      <c r="JT512"/>
      <c r="JU512"/>
      <c r="JV512"/>
      <c r="JW512"/>
      <c r="JX512"/>
      <c r="JY512"/>
      <c r="JZ512"/>
      <c r="KA512"/>
      <c r="KB512"/>
      <c r="KC512"/>
      <c r="KD512"/>
      <c r="KE512"/>
      <c r="KF512"/>
      <c r="KG512"/>
      <c r="KH512"/>
      <c r="KI512"/>
      <c r="KJ512"/>
      <c r="KK512"/>
      <c r="KL512"/>
      <c r="KM512"/>
      <c r="KN512"/>
      <c r="KO512"/>
      <c r="KP512"/>
      <c r="KQ512"/>
      <c r="KR512"/>
      <c r="KS512"/>
    </row>
    <row r="513" spans="2:305" hidden="1" x14ac:dyDescent="0.25">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M513"/>
      <c r="CN513"/>
      <c r="CO513"/>
      <c r="CP513"/>
      <c r="CQ513"/>
      <c r="CR513"/>
      <c r="CS513"/>
      <c r="CT513"/>
      <c r="CU513"/>
      <c r="CV513"/>
      <c r="CW513"/>
      <c r="CX513"/>
      <c r="CY513"/>
      <c r="CZ513"/>
      <c r="DA513"/>
      <c r="DB513"/>
      <c r="DC513"/>
      <c r="DD513"/>
      <c r="DE513"/>
      <c r="DF513"/>
      <c r="DG513"/>
      <c r="DH513"/>
      <c r="DI513"/>
      <c r="DJ513"/>
      <c r="DK513"/>
      <c r="DL513"/>
      <c r="DM513"/>
      <c r="DN513"/>
      <c r="DO513"/>
      <c r="DP513"/>
      <c r="DQ513"/>
      <c r="DR513"/>
      <c r="DS513"/>
      <c r="DT513"/>
      <c r="DU513"/>
      <c r="DV513"/>
      <c r="DW513"/>
      <c r="DX513"/>
      <c r="DY513"/>
      <c r="DZ513"/>
      <c r="EA513"/>
      <c r="EB513"/>
      <c r="EC513"/>
      <c r="ED513"/>
      <c r="EE513"/>
      <c r="EF513"/>
      <c r="EG513"/>
      <c r="EH513"/>
      <c r="EI513"/>
      <c r="EJ513"/>
      <c r="EK513"/>
      <c r="EL513"/>
      <c r="EM513"/>
      <c r="EN513"/>
      <c r="EO513"/>
      <c r="EP513"/>
      <c r="EQ513"/>
      <c r="ER513"/>
      <c r="ES513"/>
      <c r="ET513"/>
      <c r="EU513"/>
      <c r="EV513"/>
      <c r="EW513"/>
      <c r="EX513"/>
      <c r="EY513"/>
      <c r="EZ513"/>
      <c r="FA513"/>
      <c r="FB513"/>
      <c r="FC513"/>
      <c r="FD513"/>
      <c r="FE513"/>
      <c r="FF513"/>
      <c r="FG513"/>
      <c r="FH513"/>
      <c r="FI513"/>
      <c r="FJ513"/>
      <c r="FK513"/>
      <c r="FL513"/>
      <c r="FM513"/>
      <c r="FN513"/>
      <c r="FO513"/>
      <c r="FP513"/>
      <c r="FQ513"/>
      <c r="FR513"/>
      <c r="FS513"/>
      <c r="FT513"/>
      <c r="FU513"/>
      <c r="FV513"/>
      <c r="FW513"/>
      <c r="FX513"/>
      <c r="FY513"/>
      <c r="FZ513"/>
      <c r="GA513"/>
      <c r="GB513"/>
      <c r="GC513"/>
      <c r="GD513"/>
      <c r="GE513"/>
      <c r="GF513"/>
      <c r="GG513"/>
      <c r="GH513"/>
      <c r="GI513"/>
      <c r="GJ513"/>
      <c r="GK513"/>
      <c r="GL513"/>
      <c r="GM513"/>
      <c r="GN513"/>
      <c r="GO513"/>
      <c r="GP513"/>
      <c r="GQ513"/>
      <c r="GR513"/>
      <c r="GS513"/>
      <c r="GT513"/>
      <c r="GU513"/>
      <c r="GV513"/>
      <c r="GW513"/>
      <c r="GX513"/>
      <c r="GY513"/>
      <c r="GZ513"/>
      <c r="HA513"/>
      <c r="HB513"/>
      <c r="HC513"/>
      <c r="HD513"/>
      <c r="HE513"/>
      <c r="HF513"/>
      <c r="HG513"/>
      <c r="HH513"/>
      <c r="HI513"/>
      <c r="HJ513"/>
      <c r="HK513"/>
      <c r="HL513"/>
      <c r="HM513"/>
      <c r="HN513"/>
      <c r="HO513"/>
      <c r="HP513"/>
      <c r="HQ513"/>
      <c r="HR513"/>
      <c r="HS513"/>
      <c r="HT513"/>
      <c r="HU513"/>
      <c r="HV513"/>
      <c r="HW513"/>
      <c r="HX513"/>
      <c r="HY513"/>
      <c r="HZ513"/>
      <c r="IA513"/>
      <c r="IB513"/>
      <c r="IC513"/>
      <c r="ID513"/>
      <c r="IE513"/>
      <c r="IF513"/>
      <c r="IG513"/>
      <c r="IH513"/>
      <c r="II513"/>
      <c r="IJ513"/>
      <c r="IK513"/>
      <c r="IL513"/>
      <c r="IM513"/>
      <c r="IN513"/>
      <c r="IO513"/>
      <c r="IP513"/>
      <c r="IQ513"/>
      <c r="IR513"/>
      <c r="IS513"/>
      <c r="IT513"/>
      <c r="IU513"/>
      <c r="IV513"/>
      <c r="IW513"/>
      <c r="IX513"/>
      <c r="IY513"/>
      <c r="IZ513"/>
      <c r="JA513"/>
      <c r="JB513"/>
      <c r="JC513"/>
      <c r="JD513"/>
      <c r="JE513"/>
      <c r="JF513"/>
      <c r="JG513"/>
      <c r="JH513"/>
      <c r="JI513"/>
      <c r="JJ513"/>
      <c r="JK513"/>
      <c r="JL513"/>
      <c r="JM513"/>
      <c r="JN513"/>
      <c r="JO513"/>
      <c r="JP513"/>
      <c r="JQ513"/>
      <c r="JR513"/>
      <c r="JS513"/>
      <c r="JT513"/>
      <c r="JU513"/>
      <c r="JV513"/>
      <c r="JW513"/>
      <c r="JX513"/>
      <c r="JY513"/>
      <c r="JZ513"/>
      <c r="KA513"/>
      <c r="KB513"/>
      <c r="KC513"/>
      <c r="KD513"/>
      <c r="KE513"/>
      <c r="KF513"/>
      <c r="KG513"/>
      <c r="KH513"/>
      <c r="KI513"/>
      <c r="KJ513"/>
      <c r="KK513"/>
      <c r="KL513"/>
      <c r="KM513"/>
      <c r="KN513"/>
      <c r="KO513"/>
      <c r="KP513"/>
      <c r="KQ513"/>
      <c r="KR513"/>
      <c r="KS513"/>
    </row>
    <row r="514" spans="2:305" hidden="1" x14ac:dyDescent="0.25">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M514"/>
      <c r="CN514"/>
      <c r="CO514"/>
      <c r="CP514"/>
      <c r="CQ514"/>
      <c r="CR514"/>
      <c r="CS514"/>
      <c r="CT514"/>
      <c r="CU514"/>
      <c r="CV514"/>
      <c r="CW514"/>
      <c r="CX514"/>
      <c r="CY514"/>
      <c r="CZ514"/>
      <c r="DA514"/>
      <c r="DB514"/>
      <c r="DC514"/>
      <c r="DD514"/>
      <c r="DE514"/>
      <c r="DF514"/>
      <c r="DG514"/>
      <c r="DH514"/>
      <c r="DI514"/>
      <c r="DJ514"/>
      <c r="DK514"/>
      <c r="DL514"/>
      <c r="DM514"/>
      <c r="DN514"/>
      <c r="DO514"/>
      <c r="DP514"/>
      <c r="DQ514"/>
      <c r="DR514"/>
      <c r="DS514"/>
      <c r="DT514"/>
      <c r="DU514"/>
      <c r="DV514"/>
      <c r="DW514"/>
      <c r="DX514"/>
      <c r="DY514"/>
      <c r="DZ514"/>
      <c r="EA514"/>
      <c r="EB514"/>
      <c r="EC514"/>
      <c r="ED514"/>
      <c r="EE514"/>
      <c r="EF514"/>
      <c r="EG514"/>
      <c r="EH514"/>
      <c r="EI514"/>
      <c r="EJ514"/>
      <c r="EK514"/>
      <c r="EL514"/>
      <c r="EM514"/>
      <c r="EN514"/>
      <c r="EO514"/>
      <c r="EP514"/>
      <c r="EQ514"/>
      <c r="ER514"/>
      <c r="ES514"/>
      <c r="ET514"/>
      <c r="EU514"/>
      <c r="EV514"/>
      <c r="EW514"/>
      <c r="EX514"/>
      <c r="EY514"/>
      <c r="EZ514"/>
      <c r="FA514"/>
      <c r="FB514"/>
      <c r="FC514"/>
      <c r="FD514"/>
      <c r="FE514"/>
      <c r="FF514"/>
      <c r="FG514"/>
      <c r="FH514"/>
      <c r="FI514"/>
      <c r="FJ514"/>
      <c r="FK514"/>
      <c r="FL514"/>
      <c r="FM514"/>
      <c r="FN514"/>
      <c r="FO514"/>
      <c r="FP514"/>
      <c r="FQ514"/>
      <c r="FR514"/>
      <c r="FS514"/>
      <c r="FT514"/>
      <c r="FU514"/>
      <c r="FV514"/>
      <c r="FW514"/>
      <c r="FX514"/>
      <c r="FY514"/>
      <c r="FZ514"/>
      <c r="GA514"/>
      <c r="GB514"/>
      <c r="GC514"/>
      <c r="GD514"/>
      <c r="GE514"/>
      <c r="GF514"/>
      <c r="GG514"/>
      <c r="GH514"/>
      <c r="GI514"/>
      <c r="GJ514"/>
      <c r="GK514"/>
      <c r="GL514"/>
      <c r="GM514"/>
      <c r="GN514"/>
      <c r="GO514"/>
      <c r="GP514"/>
      <c r="GQ514"/>
      <c r="GR514"/>
      <c r="GS514"/>
      <c r="GT514"/>
      <c r="GU514"/>
      <c r="GV514"/>
      <c r="GW514"/>
      <c r="GX514"/>
      <c r="GY514"/>
      <c r="GZ514"/>
      <c r="HA514"/>
      <c r="HB514"/>
      <c r="HC514"/>
      <c r="HD514"/>
      <c r="HE514"/>
      <c r="HF514"/>
      <c r="HG514"/>
      <c r="HH514"/>
      <c r="HI514"/>
      <c r="HJ514"/>
      <c r="HK514"/>
      <c r="HL514"/>
      <c r="HM514"/>
      <c r="HN514"/>
      <c r="HO514"/>
      <c r="HP514"/>
      <c r="HQ514"/>
      <c r="HR514"/>
      <c r="HS514"/>
      <c r="HT514"/>
      <c r="HU514"/>
      <c r="HV514"/>
      <c r="HW514"/>
      <c r="HX514"/>
      <c r="HY514"/>
      <c r="HZ514"/>
      <c r="IA514"/>
      <c r="IB514"/>
      <c r="IC514"/>
      <c r="ID514"/>
      <c r="IE514"/>
      <c r="IF514"/>
      <c r="IG514"/>
      <c r="IH514"/>
      <c r="II514"/>
      <c r="IJ514"/>
      <c r="IK514"/>
      <c r="IL514"/>
      <c r="IM514"/>
      <c r="IN514"/>
      <c r="IO514"/>
      <c r="IP514"/>
      <c r="IQ514"/>
      <c r="IR514"/>
      <c r="IS514"/>
      <c r="IT514"/>
      <c r="IU514"/>
      <c r="IV514"/>
      <c r="IW514"/>
      <c r="IX514"/>
      <c r="IY514"/>
      <c r="IZ514"/>
      <c r="JA514"/>
      <c r="JB514"/>
      <c r="JC514"/>
      <c r="JD514"/>
      <c r="JE514"/>
      <c r="JF514"/>
      <c r="JG514"/>
      <c r="JH514"/>
      <c r="JI514"/>
      <c r="JJ514"/>
      <c r="JK514"/>
      <c r="JL514"/>
      <c r="JM514"/>
      <c r="JN514"/>
      <c r="JO514"/>
      <c r="JP514"/>
      <c r="JQ514"/>
      <c r="JR514"/>
      <c r="JS514"/>
      <c r="JT514"/>
      <c r="JU514"/>
      <c r="JV514"/>
      <c r="JW514"/>
      <c r="JX514"/>
      <c r="JY514"/>
      <c r="JZ514"/>
      <c r="KA514"/>
      <c r="KB514"/>
      <c r="KC514"/>
      <c r="KD514"/>
      <c r="KE514"/>
      <c r="KF514"/>
      <c r="KG514"/>
      <c r="KH514"/>
      <c r="KI514"/>
      <c r="KJ514"/>
      <c r="KK514"/>
      <c r="KL514"/>
      <c r="KM514"/>
      <c r="KN514"/>
      <c r="KO514"/>
      <c r="KP514"/>
      <c r="KQ514"/>
      <c r="KR514"/>
      <c r="KS514"/>
    </row>
    <row r="515" spans="2:305" hidden="1" x14ac:dyDescent="0.2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M515"/>
      <c r="CN515"/>
      <c r="CO515"/>
      <c r="CP515"/>
      <c r="CQ515"/>
      <c r="CR515"/>
      <c r="CS515"/>
      <c r="CT515"/>
      <c r="CU515"/>
      <c r="CV515"/>
      <c r="CW515"/>
      <c r="CX515"/>
      <c r="CY515"/>
      <c r="CZ515"/>
      <c r="DA515"/>
      <c r="DB515"/>
      <c r="DC515"/>
      <c r="DD515"/>
      <c r="DE515"/>
      <c r="DF515"/>
      <c r="DG515"/>
      <c r="DH515"/>
      <c r="DI515"/>
      <c r="DJ515"/>
      <c r="DK515"/>
      <c r="DL515"/>
      <c r="DM515"/>
      <c r="DN515"/>
      <c r="DO515"/>
      <c r="DP515"/>
      <c r="DQ515"/>
      <c r="DR515"/>
      <c r="DS515"/>
      <c r="DT515"/>
      <c r="DU515"/>
      <c r="DV515"/>
      <c r="DW515"/>
      <c r="DX515"/>
      <c r="DY515"/>
      <c r="DZ515"/>
      <c r="EA515"/>
      <c r="EB515"/>
      <c r="EC515"/>
      <c r="ED515"/>
      <c r="EE515"/>
      <c r="EF515"/>
      <c r="EG515"/>
      <c r="EH515"/>
      <c r="EI515"/>
      <c r="EJ515"/>
      <c r="EK515"/>
      <c r="EL515"/>
      <c r="EM515"/>
      <c r="EN515"/>
      <c r="EO515"/>
      <c r="EP515"/>
      <c r="EQ515"/>
      <c r="ER515"/>
      <c r="ES515"/>
      <c r="ET515"/>
      <c r="EU515"/>
      <c r="EV515"/>
      <c r="EW515"/>
      <c r="EX515"/>
      <c r="EY515"/>
      <c r="EZ515"/>
      <c r="FA515"/>
      <c r="FB515"/>
      <c r="FC515"/>
      <c r="FD515"/>
      <c r="FE515"/>
      <c r="FF515"/>
      <c r="FG515"/>
      <c r="FH515"/>
      <c r="FI515"/>
      <c r="FJ515"/>
      <c r="FK515"/>
      <c r="FL515"/>
      <c r="FM515"/>
      <c r="FN515"/>
      <c r="FO515"/>
      <c r="FP515"/>
      <c r="FQ515"/>
      <c r="FR515"/>
      <c r="FS515"/>
      <c r="FT515"/>
      <c r="FU515"/>
      <c r="FV515"/>
      <c r="FW515"/>
      <c r="FX515"/>
      <c r="FY515"/>
      <c r="FZ515"/>
      <c r="GA515"/>
      <c r="GB515"/>
      <c r="GC515"/>
      <c r="GD515"/>
      <c r="GE515"/>
      <c r="GF515"/>
      <c r="GG515"/>
      <c r="GH515"/>
      <c r="GI515"/>
      <c r="GJ515"/>
      <c r="GK515"/>
      <c r="GL515"/>
      <c r="GM515"/>
      <c r="GN515"/>
      <c r="GO515"/>
      <c r="GP515"/>
      <c r="GQ515"/>
      <c r="GR515"/>
      <c r="GS515"/>
      <c r="GT515"/>
      <c r="GU515"/>
      <c r="GV515"/>
      <c r="GW515"/>
      <c r="GX515"/>
      <c r="GY515"/>
      <c r="GZ515"/>
      <c r="HA515"/>
      <c r="HB515"/>
      <c r="HC515"/>
      <c r="HD515"/>
      <c r="HE515"/>
      <c r="HF515"/>
      <c r="HG515"/>
      <c r="HH515"/>
      <c r="HI515"/>
      <c r="HJ515"/>
      <c r="HK515"/>
      <c r="HL515"/>
      <c r="HM515"/>
      <c r="HN515"/>
      <c r="HO515"/>
      <c r="HP515"/>
      <c r="HQ515"/>
      <c r="HR515"/>
      <c r="HS515"/>
      <c r="HT515"/>
      <c r="HU515"/>
      <c r="HV515"/>
      <c r="HW515"/>
      <c r="HX515"/>
      <c r="HY515"/>
      <c r="HZ515"/>
      <c r="IA515"/>
      <c r="IB515"/>
      <c r="IC515"/>
      <c r="ID515"/>
      <c r="IE515"/>
      <c r="IF515"/>
      <c r="IG515"/>
      <c r="IH515"/>
      <c r="II515"/>
      <c r="IJ515"/>
      <c r="IK515"/>
      <c r="IL515"/>
      <c r="IM515"/>
      <c r="IN515"/>
      <c r="IO515"/>
      <c r="IP515"/>
      <c r="IQ515"/>
      <c r="IR515"/>
      <c r="IS515"/>
      <c r="IT515"/>
      <c r="IU515"/>
      <c r="IV515"/>
      <c r="IW515"/>
      <c r="IX515"/>
      <c r="IY515"/>
      <c r="IZ515"/>
      <c r="JA515"/>
      <c r="JB515"/>
      <c r="JC515"/>
      <c r="JD515"/>
      <c r="JE515"/>
      <c r="JF515"/>
      <c r="JG515"/>
      <c r="JH515"/>
      <c r="JI515"/>
      <c r="JJ515"/>
      <c r="JK515"/>
      <c r="JL515"/>
      <c r="JM515"/>
      <c r="JN515"/>
      <c r="JO515"/>
      <c r="JP515"/>
      <c r="JQ515"/>
      <c r="JR515"/>
      <c r="JS515"/>
      <c r="JT515"/>
      <c r="JU515"/>
      <c r="JV515"/>
      <c r="JW515"/>
      <c r="JX515"/>
      <c r="JY515"/>
      <c r="JZ515"/>
      <c r="KA515"/>
      <c r="KB515"/>
      <c r="KC515"/>
      <c r="KD515"/>
      <c r="KE515"/>
      <c r="KF515"/>
      <c r="KG515"/>
      <c r="KH515"/>
      <c r="KI515"/>
      <c r="KJ515"/>
      <c r="KK515"/>
      <c r="KL515"/>
      <c r="KM515"/>
      <c r="KN515"/>
      <c r="KO515"/>
      <c r="KP515"/>
      <c r="KQ515"/>
      <c r="KR515"/>
      <c r="KS515"/>
    </row>
    <row r="516" spans="2:305" hidden="1" x14ac:dyDescent="0.25">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M516"/>
      <c r="CN516"/>
      <c r="CO516"/>
      <c r="CP516"/>
      <c r="CQ516"/>
      <c r="CR516"/>
      <c r="CS516"/>
      <c r="CT516"/>
      <c r="CU516"/>
      <c r="CV516"/>
      <c r="CW516"/>
      <c r="CX516"/>
      <c r="CY516"/>
      <c r="CZ516"/>
      <c r="DA516"/>
      <c r="DB516"/>
      <c r="DC516"/>
      <c r="DD516"/>
      <c r="DE516"/>
      <c r="DF516"/>
      <c r="DG516"/>
      <c r="DH516"/>
      <c r="DI516"/>
      <c r="DJ516"/>
      <c r="DK516"/>
      <c r="DL516"/>
      <c r="DM516"/>
      <c r="DN516"/>
      <c r="DO516"/>
      <c r="DP516"/>
      <c r="DQ516"/>
      <c r="DR516"/>
      <c r="DS516"/>
      <c r="DT516"/>
      <c r="DU516"/>
      <c r="DV516"/>
      <c r="DW516"/>
      <c r="DX516"/>
      <c r="DY516"/>
      <c r="DZ516"/>
      <c r="EA516"/>
      <c r="EB516"/>
      <c r="EC516"/>
      <c r="ED516"/>
      <c r="EE516"/>
      <c r="EF516"/>
      <c r="EG516"/>
      <c r="EH516"/>
      <c r="EI516"/>
      <c r="EJ516"/>
      <c r="EK516"/>
      <c r="EL516"/>
      <c r="EM516"/>
      <c r="EN516"/>
      <c r="EO516"/>
      <c r="EP516"/>
      <c r="EQ516"/>
      <c r="ER516"/>
      <c r="ES516"/>
      <c r="ET516"/>
      <c r="EU516"/>
      <c r="EV516"/>
      <c r="EW516"/>
      <c r="EX516"/>
      <c r="EY516"/>
      <c r="EZ516"/>
      <c r="FA516"/>
      <c r="FB516"/>
      <c r="FC516"/>
      <c r="FD516"/>
      <c r="FE516"/>
      <c r="FF516"/>
      <c r="FG516"/>
      <c r="FH516"/>
      <c r="FI516"/>
      <c r="FJ516"/>
      <c r="FK516"/>
      <c r="FL516"/>
      <c r="FM516"/>
      <c r="FN516"/>
      <c r="FO516"/>
      <c r="FP516"/>
      <c r="FQ516"/>
      <c r="FR516"/>
      <c r="FS516"/>
      <c r="FT516"/>
      <c r="FU516"/>
      <c r="FV516"/>
      <c r="FW516"/>
      <c r="FX516"/>
      <c r="FY516"/>
      <c r="FZ516"/>
      <c r="GA516"/>
      <c r="GB516"/>
      <c r="GC516"/>
      <c r="GD516"/>
      <c r="GE516"/>
      <c r="GF516"/>
      <c r="GG516"/>
      <c r="GH516"/>
      <c r="GI516"/>
      <c r="GJ516"/>
      <c r="GK516"/>
      <c r="GL516"/>
      <c r="GM516"/>
      <c r="GN516"/>
      <c r="GO516"/>
      <c r="GP516"/>
      <c r="GQ516"/>
      <c r="GR516"/>
      <c r="GS516"/>
      <c r="GT516"/>
      <c r="GU516"/>
      <c r="GV516"/>
      <c r="GW516"/>
      <c r="GX516"/>
      <c r="GY516"/>
      <c r="GZ516"/>
      <c r="HA516"/>
      <c r="HB516"/>
      <c r="HC516"/>
      <c r="HD516"/>
      <c r="HE516"/>
      <c r="HF516"/>
      <c r="HG516"/>
      <c r="HH516"/>
      <c r="HI516"/>
      <c r="HJ516"/>
      <c r="HK516"/>
      <c r="HL516"/>
      <c r="HM516"/>
      <c r="HN516"/>
      <c r="HO516"/>
      <c r="HP516"/>
      <c r="HQ516"/>
      <c r="HR516"/>
      <c r="HS516"/>
      <c r="HT516"/>
      <c r="HU516"/>
      <c r="HV516"/>
      <c r="HW516"/>
      <c r="HX516"/>
      <c r="HY516"/>
      <c r="HZ516"/>
      <c r="IA516"/>
      <c r="IB516"/>
      <c r="IC516"/>
      <c r="ID516"/>
      <c r="IE516"/>
      <c r="IF516"/>
      <c r="IG516"/>
      <c r="IH516"/>
      <c r="II516"/>
      <c r="IJ516"/>
      <c r="IK516"/>
      <c r="IL516"/>
      <c r="IM516"/>
      <c r="IN516"/>
      <c r="IO516"/>
      <c r="IP516"/>
      <c r="IQ516"/>
      <c r="IR516"/>
      <c r="IS516"/>
      <c r="IT516"/>
      <c r="IU516"/>
      <c r="IV516"/>
      <c r="IW516"/>
      <c r="IX516"/>
      <c r="IY516"/>
      <c r="IZ516"/>
      <c r="JA516"/>
      <c r="JB516"/>
      <c r="JC516"/>
      <c r="JD516"/>
      <c r="JE516"/>
      <c r="JF516"/>
      <c r="JG516"/>
      <c r="JH516"/>
      <c r="JI516"/>
      <c r="JJ516"/>
      <c r="JK516"/>
      <c r="JL516"/>
      <c r="JM516"/>
      <c r="JN516"/>
      <c r="JO516"/>
      <c r="JP516"/>
      <c r="JQ516"/>
      <c r="JR516"/>
      <c r="JS516"/>
      <c r="JT516"/>
      <c r="JU516"/>
      <c r="JV516"/>
      <c r="JW516"/>
      <c r="JX516"/>
      <c r="JY516"/>
      <c r="JZ516"/>
      <c r="KA516"/>
      <c r="KB516"/>
      <c r="KC516"/>
      <c r="KD516"/>
      <c r="KE516"/>
      <c r="KF516"/>
      <c r="KG516"/>
      <c r="KH516"/>
      <c r="KI516"/>
      <c r="KJ516"/>
      <c r="KK516"/>
      <c r="KL516"/>
      <c r="KM516"/>
      <c r="KN516"/>
      <c r="KO516"/>
      <c r="KP516"/>
      <c r="KQ516"/>
      <c r="KR516"/>
      <c r="KS516"/>
    </row>
    <row r="517" spans="2:305" hidden="1" x14ac:dyDescent="0.25">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M517"/>
      <c r="CN517"/>
      <c r="CO517"/>
      <c r="CP517"/>
      <c r="CQ517"/>
      <c r="CR517"/>
      <c r="CS517"/>
      <c r="CT517"/>
      <c r="CU517"/>
      <c r="CV517"/>
      <c r="CW517"/>
      <c r="CX517"/>
      <c r="CY517"/>
      <c r="CZ517"/>
      <c r="DA517"/>
      <c r="DB517"/>
      <c r="DC517"/>
      <c r="DD517"/>
      <c r="DE517"/>
      <c r="DF517"/>
      <c r="DG517"/>
      <c r="DH517"/>
      <c r="DI517"/>
      <c r="DJ517"/>
      <c r="DK517"/>
      <c r="DL517"/>
      <c r="DM517"/>
      <c r="DN517"/>
      <c r="DO517"/>
      <c r="DP517"/>
      <c r="DQ517"/>
      <c r="DR517"/>
      <c r="DS517"/>
      <c r="DT517"/>
      <c r="DU517"/>
      <c r="DV517"/>
      <c r="DW517"/>
      <c r="DX517"/>
      <c r="DY517"/>
      <c r="DZ517"/>
      <c r="EA517"/>
      <c r="EB517"/>
      <c r="EC517"/>
      <c r="ED517"/>
      <c r="EE517"/>
      <c r="EF517"/>
      <c r="EG517"/>
      <c r="EH517"/>
      <c r="EI517"/>
      <c r="EJ517"/>
      <c r="EK517"/>
      <c r="EL517"/>
      <c r="EM517"/>
      <c r="EN517"/>
      <c r="EO517"/>
      <c r="EP517"/>
      <c r="EQ517"/>
      <c r="ER517"/>
      <c r="ES517"/>
      <c r="ET517"/>
      <c r="EU517"/>
      <c r="EV517"/>
      <c r="EW517"/>
      <c r="EX517"/>
      <c r="EY517"/>
      <c r="EZ517"/>
      <c r="FA517"/>
      <c r="FB517"/>
      <c r="FC517"/>
      <c r="FD517"/>
      <c r="FE517"/>
      <c r="FF517"/>
      <c r="FG517"/>
      <c r="FH517"/>
      <c r="FI517"/>
      <c r="FJ517"/>
      <c r="FK517"/>
      <c r="FL517"/>
      <c r="FM517"/>
      <c r="FN517"/>
      <c r="FO517"/>
      <c r="FP517"/>
      <c r="FQ517"/>
      <c r="FR517"/>
      <c r="FS517"/>
      <c r="FT517"/>
      <c r="FU517"/>
      <c r="FV517"/>
      <c r="FW517"/>
      <c r="FX517"/>
      <c r="FY517"/>
      <c r="FZ517"/>
      <c r="GA517"/>
      <c r="GB517"/>
      <c r="GC517"/>
      <c r="GD517"/>
      <c r="GE517"/>
      <c r="GF517"/>
      <c r="GG517"/>
      <c r="GH517"/>
      <c r="GI517"/>
      <c r="GJ517"/>
      <c r="GK517"/>
      <c r="GL517"/>
      <c r="GM517"/>
      <c r="GN517"/>
      <c r="GO517"/>
      <c r="GP517"/>
      <c r="GQ517"/>
      <c r="GR517"/>
      <c r="GS517"/>
      <c r="GT517"/>
      <c r="GU517"/>
      <c r="GV517"/>
      <c r="GW517"/>
      <c r="GX517"/>
      <c r="GY517"/>
      <c r="GZ517"/>
      <c r="HA517"/>
      <c r="HB517"/>
      <c r="HC517"/>
      <c r="HD517"/>
      <c r="HE517"/>
      <c r="HF517"/>
      <c r="HG517"/>
      <c r="HH517"/>
      <c r="HI517"/>
      <c r="HJ517"/>
      <c r="HK517"/>
      <c r="HL517"/>
      <c r="HM517"/>
      <c r="HN517"/>
      <c r="HO517"/>
      <c r="HP517"/>
      <c r="HQ517"/>
      <c r="HR517"/>
      <c r="HS517"/>
      <c r="HT517"/>
      <c r="HU517"/>
      <c r="HV517"/>
      <c r="HW517"/>
      <c r="HX517"/>
      <c r="HY517"/>
      <c r="HZ517"/>
      <c r="IA517"/>
      <c r="IB517"/>
      <c r="IC517"/>
      <c r="ID517"/>
      <c r="IE517"/>
      <c r="IF517"/>
      <c r="IG517"/>
      <c r="IH517"/>
      <c r="II517"/>
      <c r="IJ517"/>
      <c r="IK517"/>
      <c r="IL517"/>
      <c r="IM517"/>
      <c r="IN517"/>
      <c r="IO517"/>
      <c r="IP517"/>
      <c r="IQ517"/>
      <c r="IR517"/>
      <c r="IS517"/>
      <c r="IT517"/>
      <c r="IU517"/>
      <c r="IV517"/>
      <c r="IW517"/>
      <c r="IX517"/>
      <c r="IY517"/>
      <c r="IZ517"/>
      <c r="JA517"/>
      <c r="JB517"/>
      <c r="JC517"/>
      <c r="JD517"/>
      <c r="JE517"/>
      <c r="JF517"/>
      <c r="JG517"/>
      <c r="JH517"/>
      <c r="JI517"/>
      <c r="JJ517"/>
      <c r="JK517"/>
      <c r="JL517"/>
      <c r="JM517"/>
      <c r="JN517"/>
      <c r="JO517"/>
      <c r="JP517"/>
      <c r="JQ517"/>
      <c r="JR517"/>
      <c r="JS517"/>
      <c r="JT517"/>
      <c r="JU517"/>
      <c r="JV517"/>
      <c r="JW517"/>
      <c r="JX517"/>
      <c r="JY517"/>
      <c r="JZ517"/>
      <c r="KA517"/>
      <c r="KB517"/>
      <c r="KC517"/>
      <c r="KD517"/>
      <c r="KE517"/>
      <c r="KF517"/>
      <c r="KG517"/>
      <c r="KH517"/>
      <c r="KI517"/>
      <c r="KJ517"/>
      <c r="KK517"/>
      <c r="KL517"/>
      <c r="KM517"/>
      <c r="KN517"/>
      <c r="KO517"/>
      <c r="KP517"/>
      <c r="KQ517"/>
      <c r="KR517"/>
      <c r="KS517"/>
    </row>
    <row r="518" spans="2:305" hidden="1" x14ac:dyDescent="0.25">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M518"/>
      <c r="CN518"/>
      <c r="CO518"/>
      <c r="CP518"/>
      <c r="CQ518"/>
      <c r="CR518"/>
      <c r="CS518"/>
      <c r="CT518"/>
      <c r="CU518"/>
      <c r="CV518"/>
      <c r="CW518"/>
      <c r="CX518"/>
      <c r="CY518"/>
      <c r="CZ518"/>
      <c r="DA518"/>
      <c r="DB518"/>
      <c r="DC518"/>
      <c r="DD518"/>
      <c r="DE518"/>
      <c r="DF518"/>
      <c r="DG518"/>
      <c r="DH518"/>
      <c r="DI518"/>
      <c r="DJ518"/>
      <c r="DK518"/>
      <c r="DL518"/>
      <c r="DM518"/>
      <c r="DN518"/>
      <c r="DO518"/>
      <c r="DP518"/>
      <c r="DQ518"/>
      <c r="DR518"/>
      <c r="DS518"/>
      <c r="DT518"/>
      <c r="DU518"/>
      <c r="DV518"/>
      <c r="DW518"/>
      <c r="DX518"/>
      <c r="DY518"/>
      <c r="DZ518"/>
      <c r="EA518"/>
      <c r="EB518"/>
      <c r="EC518"/>
      <c r="ED518"/>
      <c r="EE518"/>
      <c r="EF518"/>
      <c r="EG518"/>
      <c r="EH518"/>
      <c r="EI518"/>
      <c r="EJ518"/>
      <c r="EK518"/>
      <c r="EL518"/>
      <c r="EM518"/>
      <c r="EN518"/>
      <c r="EO518"/>
      <c r="EP518"/>
      <c r="EQ518"/>
      <c r="ER518"/>
      <c r="ES518"/>
      <c r="ET518"/>
      <c r="EU518"/>
      <c r="EV518"/>
      <c r="EW518"/>
      <c r="EX518"/>
      <c r="EY518"/>
      <c r="EZ518"/>
      <c r="FA518"/>
      <c r="FB518"/>
      <c r="FC518"/>
      <c r="FD518"/>
      <c r="FE518"/>
      <c r="FF518"/>
      <c r="FG518"/>
      <c r="FH518"/>
      <c r="FI518"/>
      <c r="FJ518"/>
      <c r="FK518"/>
      <c r="FL518"/>
      <c r="FM518"/>
      <c r="FN518"/>
      <c r="FO518"/>
      <c r="FP518"/>
      <c r="FQ518"/>
      <c r="FR518"/>
      <c r="FS518"/>
      <c r="FT518"/>
      <c r="FU518"/>
      <c r="FV518"/>
      <c r="FW518"/>
      <c r="FX518"/>
      <c r="FY518"/>
      <c r="FZ518"/>
      <c r="GA518"/>
      <c r="GB518"/>
      <c r="GC518"/>
      <c r="GD518"/>
      <c r="GE518"/>
      <c r="GF518"/>
      <c r="GG518"/>
      <c r="GH518"/>
      <c r="GI518"/>
      <c r="GJ518"/>
      <c r="GK518"/>
      <c r="GL518"/>
      <c r="GM518"/>
      <c r="GN518"/>
      <c r="GO518"/>
      <c r="GP518"/>
      <c r="GQ518"/>
      <c r="GR518"/>
      <c r="GS518"/>
      <c r="GT518"/>
      <c r="GU518"/>
      <c r="GV518"/>
      <c r="GW518"/>
      <c r="GX518"/>
      <c r="GY518"/>
      <c r="GZ518"/>
      <c r="HA518"/>
      <c r="HB518"/>
      <c r="HC518"/>
      <c r="HD518"/>
      <c r="HE518"/>
      <c r="HF518"/>
      <c r="HG518"/>
      <c r="HH518"/>
      <c r="HI518"/>
      <c r="HJ518"/>
      <c r="HK518"/>
      <c r="HL518"/>
      <c r="HM518"/>
      <c r="HN518"/>
      <c r="HO518"/>
      <c r="HP518"/>
      <c r="HQ518"/>
      <c r="HR518"/>
      <c r="HS518"/>
      <c r="HT518"/>
      <c r="HU518"/>
      <c r="HV518"/>
      <c r="HW518"/>
      <c r="HX518"/>
      <c r="HY518"/>
      <c r="HZ518"/>
      <c r="IA518"/>
      <c r="IB518"/>
      <c r="IC518"/>
      <c r="ID518"/>
      <c r="IE518"/>
      <c r="IF518"/>
      <c r="IG518"/>
      <c r="IH518"/>
      <c r="II518"/>
      <c r="IJ518"/>
      <c r="IK518"/>
      <c r="IL518"/>
      <c r="IM518"/>
      <c r="IN518"/>
      <c r="IO518"/>
      <c r="IP518"/>
      <c r="IQ518"/>
      <c r="IR518"/>
      <c r="IS518"/>
      <c r="IT518"/>
      <c r="IU518"/>
      <c r="IV518"/>
      <c r="IW518"/>
      <c r="IX518"/>
      <c r="IY518"/>
      <c r="IZ518"/>
      <c r="JA518"/>
      <c r="JB518"/>
      <c r="JC518"/>
      <c r="JD518"/>
      <c r="JE518"/>
      <c r="JF518"/>
      <c r="JG518"/>
      <c r="JH518"/>
      <c r="JI518"/>
      <c r="JJ518"/>
      <c r="JK518"/>
      <c r="JL518"/>
      <c r="JM518"/>
      <c r="JN518"/>
      <c r="JO518"/>
      <c r="JP518"/>
      <c r="JQ518"/>
      <c r="JR518"/>
      <c r="JS518"/>
      <c r="JT518"/>
      <c r="JU518"/>
      <c r="JV518"/>
      <c r="JW518"/>
      <c r="JX518"/>
      <c r="JY518"/>
      <c r="JZ518"/>
      <c r="KA518"/>
      <c r="KB518"/>
      <c r="KC518"/>
      <c r="KD518"/>
      <c r="KE518"/>
      <c r="KF518"/>
      <c r="KG518"/>
      <c r="KH518"/>
      <c r="KI518"/>
      <c r="KJ518"/>
      <c r="KK518"/>
      <c r="KL518"/>
      <c r="KM518"/>
      <c r="KN518"/>
      <c r="KO518"/>
      <c r="KP518"/>
      <c r="KQ518"/>
      <c r="KR518"/>
      <c r="KS518"/>
    </row>
    <row r="519" spans="2:305" hidden="1" x14ac:dyDescent="0.25">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M519"/>
      <c r="CN519"/>
      <c r="CO519"/>
      <c r="CP519"/>
      <c r="CQ519"/>
      <c r="CR519"/>
      <c r="CS519"/>
      <c r="CT519"/>
      <c r="CU519"/>
      <c r="CV519"/>
      <c r="CW519"/>
      <c r="CX519"/>
      <c r="CY519"/>
      <c r="CZ519"/>
      <c r="DA519"/>
      <c r="DB519"/>
      <c r="DC519"/>
      <c r="DD519"/>
      <c r="DE519"/>
      <c r="DF519"/>
      <c r="DG519"/>
      <c r="DH519"/>
      <c r="DI519"/>
      <c r="DJ519"/>
      <c r="DK519"/>
      <c r="DL519"/>
      <c r="DM519"/>
      <c r="DN519"/>
      <c r="DO519"/>
      <c r="DP519"/>
      <c r="DQ519"/>
      <c r="DR519"/>
      <c r="DS519"/>
      <c r="DT519"/>
      <c r="DU519"/>
      <c r="DV519"/>
      <c r="DW519"/>
      <c r="DX519"/>
      <c r="DY519"/>
      <c r="DZ519"/>
      <c r="EA519"/>
      <c r="EB519"/>
      <c r="EC519"/>
      <c r="ED519"/>
      <c r="EE519"/>
      <c r="EF519"/>
      <c r="EG519"/>
      <c r="EH519"/>
      <c r="EI519"/>
      <c r="EJ519"/>
      <c r="EK519"/>
      <c r="EL519"/>
      <c r="EM519"/>
      <c r="EN519"/>
      <c r="EO519"/>
      <c r="EP519"/>
      <c r="EQ519"/>
      <c r="ER519"/>
      <c r="ES519"/>
      <c r="ET519"/>
      <c r="EU519"/>
      <c r="EV519"/>
      <c r="EW519"/>
      <c r="EX519"/>
      <c r="EY519"/>
      <c r="EZ519"/>
      <c r="FA519"/>
      <c r="FB519"/>
      <c r="FC519"/>
      <c r="FD519"/>
      <c r="FE519"/>
      <c r="FF519"/>
      <c r="FG519"/>
      <c r="FH519"/>
      <c r="FI519"/>
      <c r="FJ519"/>
      <c r="FK519"/>
      <c r="FL519"/>
      <c r="FM519"/>
      <c r="FN519"/>
      <c r="FO519"/>
      <c r="FP519"/>
      <c r="FQ519"/>
      <c r="FR519"/>
      <c r="FS519"/>
      <c r="FT519"/>
      <c r="FU519"/>
      <c r="FV519"/>
      <c r="FW519"/>
      <c r="FX519"/>
      <c r="FY519"/>
      <c r="FZ519"/>
      <c r="GA519"/>
      <c r="GB519"/>
      <c r="GC519"/>
      <c r="GD519"/>
      <c r="GE519"/>
      <c r="GF519"/>
      <c r="GG519"/>
      <c r="GH519"/>
      <c r="GI519"/>
      <c r="GJ519"/>
      <c r="GK519"/>
      <c r="GL519"/>
      <c r="GM519"/>
      <c r="GN519"/>
      <c r="GO519"/>
      <c r="GP519"/>
      <c r="GQ519"/>
      <c r="GR519"/>
      <c r="GS519"/>
      <c r="GT519"/>
      <c r="GU519"/>
      <c r="GV519"/>
      <c r="GW519"/>
      <c r="GX519"/>
      <c r="GY519"/>
      <c r="GZ519"/>
      <c r="HA519"/>
      <c r="HB519"/>
      <c r="HC519"/>
      <c r="HD519"/>
      <c r="HE519"/>
      <c r="HF519"/>
      <c r="HG519"/>
      <c r="HH519"/>
      <c r="HI519"/>
      <c r="HJ519"/>
      <c r="HK519"/>
      <c r="HL519"/>
      <c r="HM519"/>
      <c r="HN519"/>
      <c r="HO519"/>
      <c r="HP519"/>
      <c r="HQ519"/>
      <c r="HR519"/>
      <c r="HS519"/>
      <c r="HT519"/>
      <c r="HU519"/>
      <c r="HV519"/>
      <c r="HW519"/>
      <c r="HX519"/>
      <c r="HY519"/>
      <c r="HZ519"/>
      <c r="IA519"/>
      <c r="IB519"/>
      <c r="IC519"/>
      <c r="ID519"/>
      <c r="IE519"/>
      <c r="IF519"/>
      <c r="IG519"/>
      <c r="IH519"/>
      <c r="II519"/>
      <c r="IJ519"/>
      <c r="IK519"/>
      <c r="IL519"/>
      <c r="IM519"/>
      <c r="IN519"/>
      <c r="IO519"/>
      <c r="IP519"/>
      <c r="IQ519"/>
      <c r="IR519"/>
      <c r="IS519"/>
      <c r="IT519"/>
      <c r="IU519"/>
      <c r="IV519"/>
      <c r="IW519"/>
      <c r="IX519"/>
      <c r="IY519"/>
      <c r="IZ519"/>
      <c r="JA519"/>
      <c r="JB519"/>
      <c r="JC519"/>
      <c r="JD519"/>
      <c r="JE519"/>
      <c r="JF519"/>
      <c r="JG519"/>
      <c r="JH519"/>
      <c r="JI519"/>
      <c r="JJ519"/>
      <c r="JK519"/>
      <c r="JL519"/>
      <c r="JM519"/>
      <c r="JN519"/>
      <c r="JO519"/>
      <c r="JP519"/>
      <c r="JQ519"/>
      <c r="JR519"/>
      <c r="JS519"/>
      <c r="JT519"/>
      <c r="JU519"/>
      <c r="JV519"/>
      <c r="JW519"/>
      <c r="JX519"/>
      <c r="JY519"/>
      <c r="JZ519"/>
      <c r="KA519"/>
      <c r="KB519"/>
      <c r="KC519"/>
      <c r="KD519"/>
      <c r="KE519"/>
      <c r="KF519"/>
      <c r="KG519"/>
      <c r="KH519"/>
      <c r="KI519"/>
      <c r="KJ519"/>
      <c r="KK519"/>
      <c r="KL519"/>
      <c r="KM519"/>
      <c r="KN519"/>
      <c r="KO519"/>
      <c r="KP519"/>
      <c r="KQ519"/>
      <c r="KR519"/>
      <c r="KS519"/>
    </row>
    <row r="520" spans="2:305" hidden="1" x14ac:dyDescent="0.25">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M520"/>
      <c r="CN520"/>
      <c r="CO520"/>
      <c r="CP520"/>
      <c r="CQ520"/>
      <c r="CR520"/>
      <c r="CS520"/>
      <c r="CT520"/>
      <c r="CU520"/>
      <c r="CV520"/>
      <c r="CW520"/>
      <c r="CX520"/>
      <c r="CY520"/>
      <c r="CZ520"/>
      <c r="DA520"/>
      <c r="DB520"/>
      <c r="DC520"/>
      <c r="DD520"/>
      <c r="DE520"/>
      <c r="DF520"/>
      <c r="DG520"/>
      <c r="DH520"/>
      <c r="DI520"/>
      <c r="DJ520"/>
      <c r="DK520"/>
      <c r="DL520"/>
      <c r="DM520"/>
      <c r="DN520"/>
      <c r="DO520"/>
      <c r="DP520"/>
      <c r="DQ520"/>
      <c r="DR520"/>
      <c r="DS520"/>
      <c r="DT520"/>
      <c r="DU520"/>
      <c r="DV520"/>
      <c r="DW520"/>
      <c r="DX520"/>
      <c r="DY520"/>
      <c r="DZ520"/>
      <c r="EA520"/>
      <c r="EB520"/>
      <c r="EC520"/>
      <c r="ED520"/>
      <c r="EE520"/>
      <c r="EF520"/>
      <c r="EG520"/>
      <c r="EH520"/>
      <c r="EI520"/>
      <c r="EJ520"/>
      <c r="EK520"/>
      <c r="EL520"/>
      <c r="EM520"/>
      <c r="EN520"/>
      <c r="EO520"/>
      <c r="EP520"/>
      <c r="EQ520"/>
      <c r="ER520"/>
      <c r="ES520"/>
      <c r="ET520"/>
      <c r="EU520"/>
      <c r="EV520"/>
      <c r="EW520"/>
      <c r="EX520"/>
      <c r="EY520"/>
      <c r="EZ520"/>
      <c r="FA520"/>
      <c r="FB520"/>
      <c r="FC520"/>
      <c r="FD520"/>
      <c r="FE520"/>
      <c r="FF520"/>
      <c r="FG520"/>
      <c r="FH520"/>
      <c r="FI520"/>
      <c r="FJ520"/>
      <c r="FK520"/>
      <c r="FL520"/>
      <c r="FM520"/>
      <c r="FN520"/>
      <c r="FO520"/>
      <c r="FP520"/>
      <c r="FQ520"/>
      <c r="FR520"/>
      <c r="FS520"/>
      <c r="FT520"/>
      <c r="FU520"/>
      <c r="FV520"/>
      <c r="FW520"/>
      <c r="FX520"/>
      <c r="FY520"/>
      <c r="FZ520"/>
      <c r="GA520"/>
      <c r="GB520"/>
      <c r="GC520"/>
      <c r="GD520"/>
      <c r="GE520"/>
      <c r="GF520"/>
      <c r="GG520"/>
      <c r="GH520"/>
      <c r="GI520"/>
      <c r="GJ520"/>
      <c r="GK520"/>
      <c r="GL520"/>
      <c r="GM520"/>
      <c r="GN520"/>
      <c r="GO520"/>
      <c r="GP520"/>
      <c r="GQ520"/>
      <c r="GR520"/>
      <c r="GS520"/>
      <c r="GT520"/>
      <c r="GU520"/>
      <c r="GV520"/>
      <c r="GW520"/>
      <c r="GX520"/>
      <c r="GY520"/>
      <c r="GZ520"/>
      <c r="HA520"/>
      <c r="HB520"/>
      <c r="HC520"/>
      <c r="HD520"/>
      <c r="HE520"/>
      <c r="HF520"/>
      <c r="HG520"/>
      <c r="HH520"/>
      <c r="HI520"/>
      <c r="HJ520"/>
      <c r="HK520"/>
      <c r="HL520"/>
      <c r="HM520"/>
      <c r="HN520"/>
      <c r="HO520"/>
      <c r="HP520"/>
      <c r="HQ520"/>
      <c r="HR520"/>
      <c r="HS520"/>
      <c r="HT520"/>
      <c r="HU520"/>
      <c r="HV520"/>
      <c r="HW520"/>
      <c r="HX520"/>
      <c r="HY520"/>
      <c r="HZ520"/>
      <c r="IA520"/>
      <c r="IB520"/>
      <c r="IC520"/>
      <c r="ID520"/>
      <c r="IE520"/>
      <c r="IF520"/>
      <c r="IG520"/>
      <c r="IH520"/>
      <c r="II520"/>
      <c r="IJ520"/>
      <c r="IK520"/>
      <c r="IL520"/>
      <c r="IM520"/>
      <c r="IN520"/>
      <c r="IO520"/>
      <c r="IP520"/>
      <c r="IQ520"/>
      <c r="IR520"/>
      <c r="IS520"/>
      <c r="IT520"/>
      <c r="IU520"/>
      <c r="IV520"/>
      <c r="IW520"/>
      <c r="IX520"/>
      <c r="IY520"/>
      <c r="IZ520"/>
      <c r="JA520"/>
      <c r="JB520"/>
      <c r="JC520"/>
      <c r="JD520"/>
      <c r="JE520"/>
      <c r="JF520"/>
      <c r="JG520"/>
      <c r="JH520"/>
      <c r="JI520"/>
      <c r="JJ520"/>
      <c r="JK520"/>
      <c r="JL520"/>
      <c r="JM520"/>
      <c r="JN520"/>
      <c r="JO520"/>
      <c r="JP520"/>
      <c r="JQ520"/>
      <c r="JR520"/>
      <c r="JS520"/>
      <c r="JT520"/>
      <c r="JU520"/>
      <c r="JV520"/>
      <c r="JW520"/>
      <c r="JX520"/>
      <c r="JY520"/>
      <c r="JZ520"/>
      <c r="KA520"/>
      <c r="KB520"/>
      <c r="KC520"/>
      <c r="KD520"/>
      <c r="KE520"/>
      <c r="KF520"/>
      <c r="KG520"/>
      <c r="KH520"/>
      <c r="KI520"/>
      <c r="KJ520"/>
      <c r="KK520"/>
      <c r="KL520"/>
      <c r="KM520"/>
      <c r="KN520"/>
      <c r="KO520"/>
      <c r="KP520"/>
      <c r="KQ520"/>
      <c r="KR520"/>
      <c r="KS520"/>
    </row>
    <row r="521" spans="2:305" hidden="1" x14ac:dyDescent="0.25">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M521"/>
      <c r="CN521"/>
      <c r="CO521"/>
      <c r="CP521"/>
      <c r="CQ521"/>
      <c r="CR521"/>
      <c r="CS521"/>
      <c r="CT521"/>
      <c r="CU521"/>
      <c r="CV521"/>
      <c r="CW521"/>
      <c r="CX521"/>
      <c r="CY521"/>
      <c r="CZ521"/>
      <c r="DA521"/>
      <c r="DB521"/>
      <c r="DC521"/>
      <c r="DD521"/>
      <c r="DE521"/>
      <c r="DF521"/>
      <c r="DG521"/>
      <c r="DH521"/>
      <c r="DI521"/>
      <c r="DJ521"/>
      <c r="DK521"/>
      <c r="DL521"/>
      <c r="DM521"/>
      <c r="DN521"/>
      <c r="DO521"/>
      <c r="DP521"/>
      <c r="DQ521"/>
      <c r="DR521"/>
      <c r="DS521"/>
      <c r="DT521"/>
      <c r="DU521"/>
      <c r="DV521"/>
      <c r="DW521"/>
      <c r="DX521"/>
      <c r="DY521"/>
      <c r="DZ521"/>
      <c r="EA521"/>
      <c r="EB521"/>
      <c r="EC521"/>
      <c r="ED521"/>
      <c r="EE521"/>
      <c r="EF521"/>
      <c r="EG521"/>
      <c r="EH521"/>
      <c r="EI521"/>
      <c r="EJ521"/>
      <c r="EK521"/>
      <c r="EL521"/>
      <c r="EM521"/>
      <c r="EN521"/>
      <c r="EO521"/>
      <c r="EP521"/>
      <c r="EQ521"/>
      <c r="ER521"/>
      <c r="ES521"/>
      <c r="ET521"/>
      <c r="EU521"/>
      <c r="EV521"/>
      <c r="EW521"/>
      <c r="EX521"/>
      <c r="EY521"/>
      <c r="EZ521"/>
      <c r="FA521"/>
      <c r="FB521"/>
      <c r="FC521"/>
      <c r="FD521"/>
      <c r="FE521"/>
      <c r="FF521"/>
      <c r="FG521"/>
      <c r="FH521"/>
      <c r="FI521"/>
      <c r="FJ521"/>
      <c r="FK521"/>
      <c r="FL521"/>
      <c r="FM521"/>
      <c r="FN521"/>
      <c r="FO521"/>
      <c r="FP521"/>
      <c r="FQ521"/>
      <c r="FR521"/>
      <c r="FS521"/>
      <c r="FT521"/>
      <c r="FU521"/>
      <c r="FV521"/>
      <c r="FW521"/>
      <c r="FX521"/>
      <c r="FY521"/>
      <c r="FZ521"/>
      <c r="GA521"/>
      <c r="GB521"/>
      <c r="GC521"/>
      <c r="GD521"/>
      <c r="GE521"/>
      <c r="GF521"/>
      <c r="GG521"/>
      <c r="GH521"/>
      <c r="GI521"/>
      <c r="GJ521"/>
      <c r="GK521"/>
      <c r="GL521"/>
      <c r="GM521"/>
      <c r="GN521"/>
      <c r="GO521"/>
      <c r="GP521"/>
      <c r="GQ521"/>
      <c r="GR521"/>
      <c r="GS521"/>
      <c r="GT521"/>
      <c r="GU521"/>
      <c r="GV521"/>
      <c r="GW521"/>
      <c r="GX521"/>
      <c r="GY521"/>
      <c r="GZ521"/>
      <c r="HA521"/>
      <c r="HB521"/>
      <c r="HC521"/>
      <c r="HD521"/>
      <c r="HE521"/>
      <c r="HF521"/>
      <c r="HG521"/>
      <c r="HH521"/>
      <c r="HI521"/>
      <c r="HJ521"/>
      <c r="HK521"/>
      <c r="HL521"/>
      <c r="HM521"/>
      <c r="HN521"/>
      <c r="HO521"/>
      <c r="HP521"/>
      <c r="HQ521"/>
      <c r="HR521"/>
      <c r="HS521"/>
      <c r="HT521"/>
      <c r="HU521"/>
      <c r="HV521"/>
      <c r="HW521"/>
      <c r="HX521"/>
      <c r="HY521"/>
      <c r="HZ521"/>
      <c r="IA521"/>
      <c r="IB521"/>
      <c r="IC521"/>
      <c r="ID521"/>
      <c r="IE521"/>
      <c r="IF521"/>
      <c r="IG521"/>
      <c r="IH521"/>
      <c r="II521"/>
      <c r="IJ521"/>
      <c r="IK521"/>
      <c r="IL521"/>
      <c r="IM521"/>
      <c r="IN521"/>
      <c r="IO521"/>
      <c r="IP521"/>
      <c r="IQ521"/>
      <c r="IR521"/>
      <c r="IS521"/>
      <c r="IT521"/>
      <c r="IU521"/>
      <c r="IV521"/>
      <c r="IW521"/>
      <c r="IX521"/>
      <c r="IY521"/>
      <c r="IZ521"/>
      <c r="JA521"/>
      <c r="JB521"/>
      <c r="JC521"/>
      <c r="JD521"/>
      <c r="JE521"/>
      <c r="JF521"/>
      <c r="JG521"/>
      <c r="JH521"/>
      <c r="JI521"/>
      <c r="JJ521"/>
      <c r="JK521"/>
      <c r="JL521"/>
      <c r="JM521"/>
      <c r="JN521"/>
      <c r="JO521"/>
      <c r="JP521"/>
      <c r="JQ521"/>
      <c r="JR521"/>
      <c r="JS521"/>
      <c r="JT521"/>
      <c r="JU521"/>
      <c r="JV521"/>
      <c r="JW521"/>
      <c r="JX521"/>
      <c r="JY521"/>
      <c r="JZ521"/>
      <c r="KA521"/>
      <c r="KB521"/>
      <c r="KC521"/>
      <c r="KD521"/>
      <c r="KE521"/>
      <c r="KF521"/>
      <c r="KG521"/>
      <c r="KH521"/>
      <c r="KI521"/>
      <c r="KJ521"/>
      <c r="KK521"/>
      <c r="KL521"/>
      <c r="KM521"/>
      <c r="KN521"/>
      <c r="KO521"/>
      <c r="KP521"/>
      <c r="KQ521"/>
      <c r="KR521"/>
      <c r="KS521"/>
    </row>
    <row r="522" spans="2:305" hidden="1" x14ac:dyDescent="0.25">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M522"/>
      <c r="CN522"/>
      <c r="CO522"/>
      <c r="CP522"/>
      <c r="CQ522"/>
      <c r="CR522"/>
      <c r="CS522"/>
      <c r="CT522"/>
      <c r="CU522"/>
      <c r="CV522"/>
      <c r="CW522"/>
      <c r="CX522"/>
      <c r="CY522"/>
      <c r="CZ522"/>
      <c r="DA522"/>
      <c r="DB522"/>
      <c r="DC522"/>
      <c r="DD522"/>
      <c r="DE522"/>
      <c r="DF522"/>
      <c r="DG522"/>
      <c r="DH522"/>
      <c r="DI522"/>
      <c r="DJ522"/>
      <c r="DK522"/>
      <c r="DL522"/>
      <c r="DM522"/>
      <c r="DN522"/>
      <c r="DO522"/>
      <c r="DP522"/>
      <c r="DQ522"/>
      <c r="DR522"/>
      <c r="DS522"/>
      <c r="DT522"/>
      <c r="DU522"/>
      <c r="DV522"/>
      <c r="DW522"/>
      <c r="DX522"/>
      <c r="DY522"/>
      <c r="DZ522"/>
      <c r="EA522"/>
      <c r="EB522"/>
      <c r="EC522"/>
      <c r="ED522"/>
      <c r="EE522"/>
      <c r="EF522"/>
      <c r="EG522"/>
      <c r="EH522"/>
      <c r="EI522"/>
      <c r="EJ522"/>
      <c r="EK522"/>
      <c r="EL522"/>
      <c r="EM522"/>
      <c r="EN522"/>
      <c r="EO522"/>
      <c r="EP522"/>
      <c r="EQ522"/>
      <c r="ER522"/>
      <c r="ES522"/>
      <c r="ET522"/>
      <c r="EU522"/>
      <c r="EV522"/>
      <c r="EW522"/>
      <c r="EX522"/>
      <c r="EY522"/>
      <c r="EZ522"/>
      <c r="FA522"/>
      <c r="FB522"/>
      <c r="FC522"/>
      <c r="FD522"/>
      <c r="FE522"/>
      <c r="FF522"/>
      <c r="FG522"/>
      <c r="FH522"/>
      <c r="FI522"/>
      <c r="FJ522"/>
      <c r="FK522"/>
      <c r="FL522"/>
      <c r="FM522"/>
      <c r="FN522"/>
      <c r="FO522"/>
      <c r="FP522"/>
      <c r="FQ522"/>
      <c r="FR522"/>
      <c r="FS522"/>
      <c r="FT522"/>
      <c r="FU522"/>
      <c r="FV522"/>
      <c r="FW522"/>
      <c r="FX522"/>
      <c r="FY522"/>
      <c r="FZ522"/>
      <c r="GA522"/>
      <c r="GB522"/>
      <c r="GC522"/>
      <c r="GD522"/>
      <c r="GE522"/>
      <c r="GF522"/>
      <c r="GG522"/>
      <c r="GH522"/>
      <c r="GI522"/>
      <c r="GJ522"/>
      <c r="GK522"/>
      <c r="GL522"/>
      <c r="GM522"/>
      <c r="GN522"/>
      <c r="GO522"/>
      <c r="GP522"/>
      <c r="GQ522"/>
      <c r="GR522"/>
      <c r="GS522"/>
      <c r="GT522"/>
      <c r="GU522"/>
      <c r="GV522"/>
      <c r="GW522"/>
      <c r="GX522"/>
      <c r="GY522"/>
      <c r="GZ522"/>
      <c r="HA522"/>
      <c r="HB522"/>
      <c r="HC522"/>
      <c r="HD522"/>
      <c r="HE522"/>
      <c r="HF522"/>
      <c r="HG522"/>
      <c r="HH522"/>
      <c r="HI522"/>
      <c r="HJ522"/>
      <c r="HK522"/>
      <c r="HL522"/>
      <c r="HM522"/>
      <c r="HN522"/>
      <c r="HO522"/>
      <c r="HP522"/>
      <c r="HQ522"/>
      <c r="HR522"/>
      <c r="HS522"/>
      <c r="HT522"/>
      <c r="HU522"/>
      <c r="HV522"/>
      <c r="HW522"/>
      <c r="HX522"/>
      <c r="HY522"/>
      <c r="HZ522"/>
      <c r="IA522"/>
      <c r="IB522"/>
      <c r="IC522"/>
      <c r="ID522"/>
      <c r="IE522"/>
      <c r="IF522"/>
      <c r="IG522"/>
      <c r="IH522"/>
      <c r="II522"/>
      <c r="IJ522"/>
      <c r="IK522"/>
      <c r="IL522"/>
      <c r="IM522"/>
      <c r="IN522"/>
      <c r="IO522"/>
      <c r="IP522"/>
      <c r="IQ522"/>
      <c r="IR522"/>
      <c r="IS522"/>
      <c r="IT522"/>
      <c r="IU522"/>
      <c r="IV522"/>
      <c r="IW522"/>
      <c r="IX522"/>
      <c r="IY522"/>
      <c r="IZ522"/>
      <c r="JA522"/>
      <c r="JB522"/>
      <c r="JC522"/>
      <c r="JD522"/>
      <c r="JE522"/>
      <c r="JF522"/>
      <c r="JG522"/>
      <c r="JH522"/>
      <c r="JI522"/>
      <c r="JJ522"/>
      <c r="JK522"/>
      <c r="JL522"/>
      <c r="JM522"/>
      <c r="JN522"/>
      <c r="JO522"/>
      <c r="JP522"/>
      <c r="JQ522"/>
      <c r="JR522"/>
      <c r="JS522"/>
      <c r="JT522"/>
      <c r="JU522"/>
      <c r="JV522"/>
      <c r="JW522"/>
      <c r="JX522"/>
      <c r="JY522"/>
      <c r="JZ522"/>
      <c r="KA522"/>
      <c r="KB522"/>
      <c r="KC522"/>
      <c r="KD522"/>
      <c r="KE522"/>
      <c r="KF522"/>
      <c r="KG522"/>
      <c r="KH522"/>
      <c r="KI522"/>
      <c r="KJ522"/>
      <c r="KK522"/>
      <c r="KL522"/>
      <c r="KM522"/>
      <c r="KN522"/>
      <c r="KO522"/>
      <c r="KP522"/>
      <c r="KQ522"/>
      <c r="KR522"/>
      <c r="KS522"/>
    </row>
    <row r="523" spans="2:305" hidden="1" x14ac:dyDescent="0.25">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M523"/>
      <c r="CN523"/>
      <c r="CO523"/>
      <c r="CP523"/>
      <c r="CQ523"/>
      <c r="CR523"/>
      <c r="CS523"/>
      <c r="CT523"/>
      <c r="CU523"/>
      <c r="CV523"/>
      <c r="CW523"/>
      <c r="CX523"/>
      <c r="CY523"/>
      <c r="CZ523"/>
      <c r="DA523"/>
      <c r="DB523"/>
      <c r="DC523"/>
      <c r="DD523"/>
      <c r="DE523"/>
      <c r="DF523"/>
      <c r="DG523"/>
      <c r="DH523"/>
      <c r="DI523"/>
      <c r="DJ523"/>
      <c r="DK523"/>
      <c r="DL523"/>
      <c r="DM523"/>
      <c r="DN523"/>
      <c r="DO523"/>
      <c r="DP523"/>
      <c r="DQ523"/>
      <c r="DR523"/>
      <c r="DS523"/>
      <c r="DT523"/>
      <c r="DU523"/>
      <c r="DV523"/>
      <c r="DW523"/>
      <c r="DX523"/>
      <c r="DY523"/>
      <c r="DZ523"/>
      <c r="EA523"/>
      <c r="EB523"/>
      <c r="EC523"/>
      <c r="ED523"/>
      <c r="EE523"/>
      <c r="EF523"/>
      <c r="EG523"/>
      <c r="EH523"/>
      <c r="EI523"/>
      <c r="EJ523"/>
      <c r="EK523"/>
      <c r="EL523"/>
      <c r="EM523"/>
      <c r="EN523"/>
      <c r="EO523"/>
      <c r="EP523"/>
      <c r="EQ523"/>
      <c r="ER523"/>
      <c r="ES523"/>
      <c r="ET523"/>
      <c r="EU523"/>
      <c r="EV523"/>
      <c r="EW523"/>
      <c r="EX523"/>
      <c r="EY523"/>
      <c r="EZ523"/>
      <c r="FA523"/>
      <c r="FB523"/>
      <c r="FC523"/>
      <c r="FD523"/>
      <c r="FE523"/>
      <c r="FF523"/>
      <c r="FG523"/>
      <c r="FH523"/>
      <c r="FI523"/>
      <c r="FJ523"/>
      <c r="FK523"/>
      <c r="FL523"/>
      <c r="FM523"/>
      <c r="FN523"/>
      <c r="FO523"/>
      <c r="FP523"/>
      <c r="FQ523"/>
      <c r="FR523"/>
      <c r="FS523"/>
      <c r="FT523"/>
      <c r="FU523"/>
      <c r="FV523"/>
      <c r="FW523"/>
      <c r="FX523"/>
      <c r="FY523"/>
      <c r="FZ523"/>
      <c r="GA523"/>
      <c r="GB523"/>
      <c r="GC523"/>
      <c r="GD523"/>
      <c r="GE523"/>
      <c r="GF523"/>
      <c r="GG523"/>
      <c r="GH523"/>
      <c r="GI523"/>
      <c r="GJ523"/>
      <c r="GK523"/>
      <c r="GL523"/>
      <c r="GM523"/>
      <c r="GN523"/>
      <c r="GO523"/>
      <c r="GP523"/>
      <c r="GQ523"/>
      <c r="GR523"/>
      <c r="GS523"/>
      <c r="GT523"/>
      <c r="GU523"/>
      <c r="GV523"/>
      <c r="GW523"/>
      <c r="GX523"/>
      <c r="GY523"/>
      <c r="GZ523"/>
      <c r="HA523"/>
      <c r="HB523"/>
      <c r="HC523"/>
      <c r="HD523"/>
      <c r="HE523"/>
      <c r="HF523"/>
      <c r="HG523"/>
      <c r="HH523"/>
      <c r="HI523"/>
      <c r="HJ523"/>
      <c r="HK523"/>
      <c r="HL523"/>
      <c r="HM523"/>
      <c r="HN523"/>
      <c r="HO523"/>
      <c r="HP523"/>
      <c r="HQ523"/>
      <c r="HR523"/>
      <c r="HS523"/>
      <c r="HT523"/>
      <c r="HU523"/>
      <c r="HV523"/>
      <c r="HW523"/>
      <c r="HX523"/>
      <c r="HY523"/>
      <c r="HZ523"/>
      <c r="IA523"/>
      <c r="IB523"/>
      <c r="IC523"/>
      <c r="ID523"/>
      <c r="IE523"/>
      <c r="IF523"/>
      <c r="IG523"/>
      <c r="IH523"/>
      <c r="II523"/>
      <c r="IJ523"/>
      <c r="IK523"/>
      <c r="IL523"/>
      <c r="IM523"/>
      <c r="IN523"/>
      <c r="IO523"/>
      <c r="IP523"/>
      <c r="IQ523"/>
      <c r="IR523"/>
      <c r="IS523"/>
      <c r="IT523"/>
      <c r="IU523"/>
      <c r="IV523"/>
      <c r="IW523"/>
      <c r="IX523"/>
      <c r="IY523"/>
      <c r="IZ523"/>
      <c r="JA523"/>
      <c r="JB523"/>
      <c r="JC523"/>
      <c r="JD523"/>
      <c r="JE523"/>
      <c r="JF523"/>
      <c r="JG523"/>
      <c r="JH523"/>
      <c r="JI523"/>
      <c r="JJ523"/>
      <c r="JK523"/>
      <c r="JL523"/>
      <c r="JM523"/>
      <c r="JN523"/>
      <c r="JO523"/>
      <c r="JP523"/>
      <c r="JQ523"/>
      <c r="JR523"/>
      <c r="JS523"/>
      <c r="JT523"/>
      <c r="JU523"/>
      <c r="JV523"/>
      <c r="JW523"/>
      <c r="JX523"/>
      <c r="JY523"/>
      <c r="JZ523"/>
      <c r="KA523"/>
      <c r="KB523"/>
      <c r="KC523"/>
      <c r="KD523"/>
      <c r="KE523"/>
      <c r="KF523"/>
      <c r="KG523"/>
      <c r="KH523"/>
      <c r="KI523"/>
      <c r="KJ523"/>
      <c r="KK523"/>
      <c r="KL523"/>
      <c r="KM523"/>
      <c r="KN523"/>
      <c r="KO523"/>
      <c r="KP523"/>
      <c r="KQ523"/>
      <c r="KR523"/>
      <c r="KS523"/>
    </row>
    <row r="524" spans="2:305" hidden="1" x14ac:dyDescent="0.25">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M524"/>
      <c r="CN524"/>
      <c r="CO524"/>
      <c r="CP524"/>
      <c r="CQ524"/>
      <c r="CR524"/>
      <c r="CS524"/>
      <c r="CT524"/>
      <c r="CU524"/>
      <c r="CV524"/>
      <c r="CW524"/>
      <c r="CX524"/>
      <c r="CY524"/>
      <c r="CZ524"/>
      <c r="DA524"/>
      <c r="DB524"/>
      <c r="DC524"/>
      <c r="DD524"/>
      <c r="DE524"/>
      <c r="DF524"/>
      <c r="DG524"/>
      <c r="DH524"/>
      <c r="DI524"/>
      <c r="DJ524"/>
      <c r="DK524"/>
      <c r="DL524"/>
      <c r="DM524"/>
      <c r="DN524"/>
      <c r="DO524"/>
      <c r="DP524"/>
      <c r="DQ524"/>
      <c r="DR524"/>
      <c r="DS524"/>
      <c r="DT524"/>
      <c r="DU524"/>
      <c r="DV524"/>
      <c r="DW524"/>
      <c r="DX524"/>
      <c r="DY524"/>
      <c r="DZ524"/>
      <c r="EA524"/>
      <c r="EB524"/>
      <c r="EC524"/>
      <c r="ED524"/>
      <c r="EE524"/>
      <c r="EF524"/>
      <c r="EG524"/>
      <c r="EH524"/>
      <c r="EI524"/>
      <c r="EJ524"/>
      <c r="EK524"/>
      <c r="EL524"/>
      <c r="EM524"/>
      <c r="EN524"/>
      <c r="EO524"/>
      <c r="EP524"/>
      <c r="EQ524"/>
      <c r="ER524"/>
      <c r="ES524"/>
      <c r="ET524"/>
      <c r="EU524"/>
      <c r="EV524"/>
      <c r="EW524"/>
      <c r="EX524"/>
      <c r="EY524"/>
      <c r="EZ524"/>
      <c r="FA524"/>
      <c r="FB524"/>
      <c r="FC524"/>
      <c r="FD524"/>
      <c r="FE524"/>
      <c r="FF524"/>
      <c r="FG524"/>
      <c r="FH524"/>
      <c r="FI524"/>
      <c r="FJ524"/>
      <c r="FK524"/>
      <c r="FL524"/>
      <c r="FM524"/>
      <c r="FN524"/>
      <c r="FO524"/>
      <c r="FP524"/>
      <c r="FQ524"/>
      <c r="FR524"/>
      <c r="FS524"/>
      <c r="FT524"/>
      <c r="FU524"/>
      <c r="FV524"/>
      <c r="FW524"/>
      <c r="FX524"/>
      <c r="FY524"/>
      <c r="FZ524"/>
      <c r="GA524"/>
      <c r="GB524"/>
      <c r="GC524"/>
      <c r="GD524"/>
      <c r="GE524"/>
      <c r="GF524"/>
      <c r="GG524"/>
      <c r="GH524"/>
      <c r="GI524"/>
      <c r="GJ524"/>
      <c r="GK524"/>
      <c r="GL524"/>
      <c r="GM524"/>
      <c r="GN524"/>
      <c r="GO524"/>
      <c r="GP524"/>
      <c r="GQ524"/>
      <c r="GR524"/>
      <c r="GS524"/>
      <c r="GT524"/>
      <c r="GU524"/>
      <c r="GV524"/>
      <c r="GW524"/>
      <c r="GX524"/>
      <c r="GY524"/>
      <c r="GZ524"/>
      <c r="HA524"/>
      <c r="HB524"/>
      <c r="HC524"/>
      <c r="HD524"/>
      <c r="HE524"/>
      <c r="HF524"/>
      <c r="HG524"/>
      <c r="HH524"/>
      <c r="HI524"/>
      <c r="HJ524"/>
      <c r="HK524"/>
      <c r="HL524"/>
      <c r="HM524"/>
      <c r="HN524"/>
      <c r="HO524"/>
      <c r="HP524"/>
      <c r="HQ524"/>
      <c r="HR524"/>
      <c r="HS524"/>
      <c r="HT524"/>
      <c r="HU524"/>
      <c r="HV524"/>
      <c r="HW524"/>
      <c r="HX524"/>
      <c r="HY524"/>
      <c r="HZ524"/>
      <c r="IA524"/>
      <c r="IB524"/>
      <c r="IC524"/>
      <c r="ID524"/>
      <c r="IE524"/>
      <c r="IF524"/>
      <c r="IG524"/>
      <c r="IH524"/>
      <c r="II524"/>
      <c r="IJ524"/>
      <c r="IK524"/>
      <c r="IL524"/>
      <c r="IM524"/>
      <c r="IN524"/>
      <c r="IO524"/>
      <c r="IP524"/>
      <c r="IQ524"/>
      <c r="IR524"/>
      <c r="IS524"/>
      <c r="IT524"/>
      <c r="IU524"/>
      <c r="IV524"/>
      <c r="IW524"/>
      <c r="IX524"/>
      <c r="IY524"/>
      <c r="IZ524"/>
      <c r="JA524"/>
      <c r="JB524"/>
      <c r="JC524"/>
      <c r="JD524"/>
      <c r="JE524"/>
      <c r="JF524"/>
      <c r="JG524"/>
      <c r="JH524"/>
      <c r="JI524"/>
      <c r="JJ524"/>
      <c r="JK524"/>
      <c r="JL524"/>
      <c r="JM524"/>
      <c r="JN524"/>
      <c r="JO524"/>
      <c r="JP524"/>
      <c r="JQ524"/>
      <c r="JR524"/>
      <c r="JS524"/>
      <c r="JT524"/>
      <c r="JU524"/>
      <c r="JV524"/>
      <c r="JW524"/>
      <c r="JX524"/>
      <c r="JY524"/>
      <c r="JZ524"/>
      <c r="KA524"/>
      <c r="KB524"/>
      <c r="KC524"/>
      <c r="KD524"/>
      <c r="KE524"/>
      <c r="KF524"/>
      <c r="KG524"/>
      <c r="KH524"/>
      <c r="KI524"/>
      <c r="KJ524"/>
      <c r="KK524"/>
      <c r="KL524"/>
      <c r="KM524"/>
      <c r="KN524"/>
      <c r="KO524"/>
      <c r="KP524"/>
      <c r="KQ524"/>
      <c r="KR524"/>
      <c r="KS524"/>
    </row>
    <row r="525" spans="2:305" hidden="1" x14ac:dyDescent="0.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M525"/>
      <c r="CN525"/>
      <c r="CO525"/>
      <c r="CP525"/>
      <c r="CQ525"/>
      <c r="CR525"/>
      <c r="CS525"/>
      <c r="CT525"/>
      <c r="CU525"/>
      <c r="CV525"/>
      <c r="CW525"/>
      <c r="CX525"/>
      <c r="CY525"/>
      <c r="CZ525"/>
      <c r="DA525"/>
      <c r="DB525"/>
      <c r="DC525"/>
      <c r="DD525"/>
      <c r="DE525"/>
      <c r="DF525"/>
      <c r="DG525"/>
      <c r="DH525"/>
      <c r="DI525"/>
      <c r="DJ525"/>
      <c r="DK525"/>
      <c r="DL525"/>
      <c r="DM525"/>
      <c r="DN525"/>
      <c r="DO525"/>
      <c r="DP525"/>
      <c r="DQ525"/>
      <c r="DR525"/>
      <c r="DS525"/>
      <c r="DT525"/>
      <c r="DU525"/>
      <c r="DV525"/>
      <c r="DW525"/>
      <c r="DX525"/>
      <c r="DY525"/>
      <c r="DZ525"/>
      <c r="EA525"/>
      <c r="EB525"/>
      <c r="EC525"/>
      <c r="ED525"/>
      <c r="EE525"/>
      <c r="EF525"/>
      <c r="EG525"/>
      <c r="EH525"/>
      <c r="EI525"/>
      <c r="EJ525"/>
      <c r="EK525"/>
      <c r="EL525"/>
      <c r="EM525"/>
      <c r="EN525"/>
      <c r="EO525"/>
      <c r="EP525"/>
      <c r="EQ525"/>
      <c r="ER525"/>
      <c r="ES525"/>
      <c r="ET525"/>
      <c r="EU525"/>
      <c r="EV525"/>
      <c r="EW525"/>
      <c r="EX525"/>
      <c r="EY525"/>
      <c r="EZ525"/>
      <c r="FA525"/>
      <c r="FB525"/>
      <c r="FC525"/>
      <c r="FD525"/>
      <c r="FE525"/>
      <c r="FF525"/>
      <c r="FG525"/>
      <c r="FH525"/>
      <c r="FI525"/>
      <c r="FJ525"/>
      <c r="FK525"/>
      <c r="FL525"/>
      <c r="FM525"/>
      <c r="FN525"/>
      <c r="FO525"/>
      <c r="FP525"/>
      <c r="FQ525"/>
      <c r="FR525"/>
      <c r="FS525"/>
      <c r="FT525"/>
      <c r="FU525"/>
      <c r="FV525"/>
      <c r="FW525"/>
      <c r="FX525"/>
      <c r="FY525"/>
      <c r="FZ525"/>
      <c r="GA525"/>
      <c r="GB525"/>
      <c r="GC525"/>
      <c r="GD525"/>
      <c r="GE525"/>
      <c r="GF525"/>
      <c r="GG525"/>
      <c r="GH525"/>
      <c r="GI525"/>
      <c r="GJ525"/>
      <c r="GK525"/>
      <c r="GL525"/>
      <c r="GM525"/>
      <c r="GN525"/>
      <c r="GO525"/>
      <c r="GP525"/>
      <c r="GQ525"/>
      <c r="GR525"/>
      <c r="GS525"/>
      <c r="GT525"/>
      <c r="GU525"/>
      <c r="GV525"/>
      <c r="GW525"/>
      <c r="GX525"/>
      <c r="GY525"/>
      <c r="GZ525"/>
      <c r="HA525"/>
      <c r="HB525"/>
      <c r="HC525"/>
      <c r="HD525"/>
      <c r="HE525"/>
      <c r="HF525"/>
      <c r="HG525"/>
      <c r="HH525"/>
      <c r="HI525"/>
      <c r="HJ525"/>
      <c r="HK525"/>
      <c r="HL525"/>
      <c r="HM525"/>
      <c r="HN525"/>
      <c r="HO525"/>
      <c r="HP525"/>
      <c r="HQ525"/>
      <c r="HR525"/>
      <c r="HS525"/>
      <c r="HT525"/>
      <c r="HU525"/>
      <c r="HV525"/>
      <c r="HW525"/>
      <c r="HX525"/>
      <c r="HY525"/>
      <c r="HZ525"/>
      <c r="IA525"/>
      <c r="IB525"/>
      <c r="IC525"/>
      <c r="ID525"/>
      <c r="IE525"/>
      <c r="IF525"/>
      <c r="IG525"/>
      <c r="IH525"/>
      <c r="II525"/>
      <c r="IJ525"/>
      <c r="IK525"/>
      <c r="IL525"/>
      <c r="IM525"/>
      <c r="IN525"/>
      <c r="IO525"/>
      <c r="IP525"/>
      <c r="IQ525"/>
      <c r="IR525"/>
      <c r="IS525"/>
      <c r="IT525"/>
      <c r="IU525"/>
      <c r="IV525"/>
      <c r="IW525"/>
      <c r="IX525"/>
      <c r="IY525"/>
      <c r="IZ525"/>
      <c r="JA525"/>
      <c r="JB525"/>
      <c r="JC525"/>
      <c r="JD525"/>
      <c r="JE525"/>
      <c r="JF525"/>
      <c r="JG525"/>
      <c r="JH525"/>
      <c r="JI525"/>
      <c r="JJ525"/>
      <c r="JK525"/>
      <c r="JL525"/>
      <c r="JM525"/>
      <c r="JN525"/>
      <c r="JO525"/>
      <c r="JP525"/>
      <c r="JQ525"/>
      <c r="JR525"/>
      <c r="JS525"/>
      <c r="JT525"/>
      <c r="JU525"/>
      <c r="JV525"/>
      <c r="JW525"/>
      <c r="JX525"/>
      <c r="JY525"/>
      <c r="JZ525"/>
      <c r="KA525"/>
      <c r="KB525"/>
      <c r="KC525"/>
      <c r="KD525"/>
      <c r="KE525"/>
      <c r="KF525"/>
      <c r="KG525"/>
      <c r="KH525"/>
      <c r="KI525"/>
      <c r="KJ525"/>
      <c r="KK525"/>
      <c r="KL525"/>
      <c r="KM525"/>
      <c r="KN525"/>
      <c r="KO525"/>
      <c r="KP525"/>
      <c r="KQ525"/>
      <c r="KR525"/>
      <c r="KS525"/>
    </row>
    <row r="526" spans="2:305" hidden="1" x14ac:dyDescent="0.25">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M526"/>
      <c r="CN526"/>
      <c r="CO526"/>
      <c r="CP526"/>
      <c r="CQ526"/>
      <c r="CR526"/>
      <c r="CS526"/>
      <c r="CT526"/>
      <c r="CU526"/>
      <c r="CV526"/>
      <c r="CW526"/>
      <c r="CX526"/>
      <c r="CY526"/>
      <c r="CZ526"/>
      <c r="DA526"/>
      <c r="DB526"/>
      <c r="DC526"/>
      <c r="DD526"/>
      <c r="DE526"/>
      <c r="DF526"/>
      <c r="DG526"/>
      <c r="DH526"/>
      <c r="DI526"/>
      <c r="DJ526"/>
      <c r="DK526"/>
      <c r="DL526"/>
      <c r="DM526"/>
      <c r="DN526"/>
      <c r="DO526"/>
      <c r="DP526"/>
      <c r="DQ526"/>
      <c r="DR526"/>
      <c r="DS526"/>
      <c r="DT526"/>
      <c r="DU526"/>
      <c r="DV526"/>
      <c r="DW526"/>
      <c r="DX526"/>
      <c r="DY526"/>
      <c r="DZ526"/>
      <c r="EA526"/>
      <c r="EB526"/>
      <c r="EC526"/>
      <c r="ED526"/>
      <c r="EE526"/>
      <c r="EF526"/>
      <c r="EG526"/>
      <c r="EH526"/>
      <c r="EI526"/>
      <c r="EJ526"/>
      <c r="EK526"/>
      <c r="EL526"/>
      <c r="EM526"/>
      <c r="EN526"/>
      <c r="EO526"/>
      <c r="EP526"/>
      <c r="EQ526"/>
      <c r="ER526"/>
      <c r="ES526"/>
      <c r="ET526"/>
      <c r="EU526"/>
      <c r="EV526"/>
      <c r="EW526"/>
      <c r="EX526"/>
      <c r="EY526"/>
      <c r="EZ526"/>
      <c r="FA526"/>
      <c r="FB526"/>
      <c r="FC526"/>
      <c r="FD526"/>
      <c r="FE526"/>
      <c r="FF526"/>
      <c r="FG526"/>
      <c r="FH526"/>
      <c r="FI526"/>
      <c r="FJ526"/>
      <c r="FK526"/>
      <c r="FL526"/>
      <c r="FM526"/>
      <c r="FN526"/>
      <c r="FO526"/>
      <c r="FP526"/>
      <c r="FQ526"/>
      <c r="FR526"/>
      <c r="FS526"/>
      <c r="FT526"/>
      <c r="FU526"/>
      <c r="FV526"/>
      <c r="FW526"/>
      <c r="FX526"/>
      <c r="FY526"/>
      <c r="FZ526"/>
      <c r="GA526"/>
      <c r="GB526"/>
      <c r="GC526"/>
      <c r="GD526"/>
      <c r="GE526"/>
      <c r="GF526"/>
      <c r="GG526"/>
      <c r="GH526"/>
      <c r="GI526"/>
      <c r="GJ526"/>
      <c r="GK526"/>
      <c r="GL526"/>
      <c r="GM526"/>
      <c r="GN526"/>
      <c r="GO526"/>
      <c r="GP526"/>
      <c r="GQ526"/>
      <c r="GR526"/>
      <c r="GS526"/>
      <c r="GT526"/>
      <c r="GU526"/>
      <c r="GV526"/>
      <c r="GW526"/>
      <c r="GX526"/>
      <c r="GY526"/>
      <c r="GZ526"/>
      <c r="HA526"/>
      <c r="HB526"/>
      <c r="HC526"/>
      <c r="HD526"/>
      <c r="HE526"/>
      <c r="HF526"/>
      <c r="HG526"/>
      <c r="HH526"/>
      <c r="HI526"/>
      <c r="HJ526"/>
      <c r="HK526"/>
      <c r="HL526"/>
      <c r="HM526"/>
      <c r="HN526"/>
      <c r="HO526"/>
      <c r="HP526"/>
      <c r="HQ526"/>
      <c r="HR526"/>
      <c r="HS526"/>
      <c r="HT526"/>
      <c r="HU526"/>
      <c r="HV526"/>
      <c r="HW526"/>
      <c r="HX526"/>
      <c r="HY526"/>
      <c r="HZ526"/>
      <c r="IA526"/>
      <c r="IB526"/>
      <c r="IC526"/>
      <c r="ID526"/>
      <c r="IE526"/>
      <c r="IF526"/>
      <c r="IG526"/>
      <c r="IH526"/>
      <c r="II526"/>
      <c r="IJ526"/>
      <c r="IK526"/>
      <c r="IL526"/>
      <c r="IM526"/>
      <c r="IN526"/>
      <c r="IO526"/>
      <c r="IP526"/>
      <c r="IQ526"/>
      <c r="IR526"/>
      <c r="IS526"/>
      <c r="IT526"/>
      <c r="IU526"/>
      <c r="IV526"/>
      <c r="IW526"/>
      <c r="IX526"/>
      <c r="IY526"/>
      <c r="IZ526"/>
      <c r="JA526"/>
      <c r="JB526"/>
      <c r="JC526"/>
      <c r="JD526"/>
      <c r="JE526"/>
      <c r="JF526"/>
      <c r="JG526"/>
      <c r="JH526"/>
      <c r="JI526"/>
      <c r="JJ526"/>
      <c r="JK526"/>
      <c r="JL526"/>
      <c r="JM526"/>
      <c r="JN526"/>
      <c r="JO526"/>
      <c r="JP526"/>
      <c r="JQ526"/>
      <c r="JR526"/>
      <c r="JS526"/>
      <c r="JT526"/>
      <c r="JU526"/>
      <c r="JV526"/>
      <c r="JW526"/>
      <c r="JX526"/>
      <c r="JY526"/>
      <c r="JZ526"/>
      <c r="KA526"/>
      <c r="KB526"/>
      <c r="KC526"/>
      <c r="KD526"/>
      <c r="KE526"/>
      <c r="KF526"/>
      <c r="KG526"/>
      <c r="KH526"/>
      <c r="KI526"/>
      <c r="KJ526"/>
      <c r="KK526"/>
      <c r="KL526"/>
      <c r="KM526"/>
      <c r="KN526"/>
      <c r="KO526"/>
      <c r="KP526"/>
      <c r="KQ526"/>
      <c r="KR526"/>
      <c r="KS526"/>
    </row>
    <row r="527" spans="2:305" hidden="1" x14ac:dyDescent="0.25">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M527"/>
      <c r="CN527"/>
      <c r="CO527"/>
      <c r="CP527"/>
      <c r="CQ527"/>
      <c r="CR527"/>
      <c r="CS527"/>
      <c r="CT527"/>
      <c r="CU527"/>
      <c r="CV527"/>
      <c r="CW527"/>
      <c r="CX527"/>
      <c r="CY527"/>
      <c r="CZ527"/>
      <c r="DA527"/>
      <c r="DB527"/>
      <c r="DC527"/>
      <c r="DD527"/>
      <c r="DE527"/>
      <c r="DF527"/>
      <c r="DG527"/>
      <c r="DH527"/>
      <c r="DI527"/>
      <c r="DJ527"/>
      <c r="DK527"/>
      <c r="DL527"/>
      <c r="DM527"/>
      <c r="DN527"/>
      <c r="DO527"/>
      <c r="DP527"/>
      <c r="DQ527"/>
      <c r="DR527"/>
      <c r="DS527"/>
      <c r="DT527"/>
      <c r="DU527"/>
      <c r="DV527"/>
      <c r="DW527"/>
      <c r="DX527"/>
      <c r="DY527"/>
      <c r="DZ527"/>
      <c r="EA527"/>
      <c r="EB527"/>
      <c r="EC527"/>
      <c r="ED527"/>
      <c r="EE527"/>
      <c r="EF527"/>
      <c r="EG527"/>
      <c r="EH527"/>
      <c r="EI527"/>
      <c r="EJ527"/>
      <c r="EK527"/>
      <c r="EL527"/>
      <c r="EM527"/>
      <c r="EN527"/>
      <c r="EO527"/>
      <c r="EP527"/>
      <c r="EQ527"/>
      <c r="ER527"/>
      <c r="ES527"/>
      <c r="ET527"/>
      <c r="EU527"/>
      <c r="EV527"/>
      <c r="EW527"/>
      <c r="EX527"/>
      <c r="EY527"/>
      <c r="EZ527"/>
      <c r="FA527"/>
      <c r="FB527"/>
      <c r="FC527"/>
      <c r="FD527"/>
      <c r="FE527"/>
      <c r="FF527"/>
      <c r="FG527"/>
      <c r="FH527"/>
      <c r="FI527"/>
      <c r="FJ527"/>
      <c r="FK527"/>
      <c r="FL527"/>
      <c r="FM527"/>
      <c r="FN527"/>
      <c r="FO527"/>
      <c r="FP527"/>
      <c r="FQ527"/>
      <c r="FR527"/>
      <c r="FS527"/>
      <c r="FT527"/>
      <c r="FU527"/>
      <c r="FV527"/>
      <c r="FW527"/>
      <c r="FX527"/>
      <c r="FY527"/>
      <c r="FZ527"/>
      <c r="GA527"/>
      <c r="GB527"/>
      <c r="GC527"/>
      <c r="GD527"/>
      <c r="GE527"/>
      <c r="GF527"/>
      <c r="GG527"/>
      <c r="GH527"/>
      <c r="GI527"/>
      <c r="GJ527"/>
      <c r="GK527"/>
      <c r="GL527"/>
      <c r="GM527"/>
      <c r="GN527"/>
      <c r="GO527"/>
      <c r="GP527"/>
      <c r="GQ527"/>
      <c r="GR527"/>
      <c r="GS527"/>
      <c r="GT527"/>
      <c r="GU527"/>
      <c r="GV527"/>
      <c r="GW527"/>
      <c r="GX527"/>
      <c r="GY527"/>
      <c r="GZ527"/>
      <c r="HA527"/>
      <c r="HB527"/>
      <c r="HC527"/>
      <c r="HD527"/>
      <c r="HE527"/>
      <c r="HF527"/>
      <c r="HG527"/>
      <c r="HH527"/>
      <c r="HI527"/>
      <c r="HJ527"/>
      <c r="HK527"/>
      <c r="HL527"/>
      <c r="HM527"/>
      <c r="HN527"/>
      <c r="HO527"/>
      <c r="HP527"/>
      <c r="HQ527"/>
      <c r="HR527"/>
      <c r="HS527"/>
      <c r="HT527"/>
      <c r="HU527"/>
      <c r="HV527"/>
      <c r="HW527"/>
      <c r="HX527"/>
      <c r="HY527"/>
      <c r="HZ527"/>
      <c r="IA527"/>
      <c r="IB527"/>
      <c r="IC527"/>
      <c r="ID527"/>
      <c r="IE527"/>
      <c r="IF527"/>
      <c r="IG527"/>
      <c r="IH527"/>
      <c r="II527"/>
      <c r="IJ527"/>
      <c r="IK527"/>
      <c r="IL527"/>
      <c r="IM527"/>
      <c r="IN527"/>
      <c r="IO527"/>
      <c r="IP527"/>
      <c r="IQ527"/>
      <c r="IR527"/>
      <c r="IS527"/>
      <c r="IT527"/>
      <c r="IU527"/>
      <c r="IV527"/>
      <c r="IW527"/>
      <c r="IX527"/>
      <c r="IY527"/>
      <c r="IZ527"/>
      <c r="JA527"/>
      <c r="JB527"/>
      <c r="JC527"/>
      <c r="JD527"/>
      <c r="JE527"/>
      <c r="JF527"/>
      <c r="JG527"/>
      <c r="JH527"/>
      <c r="JI527"/>
      <c r="JJ527"/>
      <c r="JK527"/>
      <c r="JL527"/>
      <c r="JM527"/>
      <c r="JN527"/>
      <c r="JO527"/>
      <c r="JP527"/>
      <c r="JQ527"/>
      <c r="JR527"/>
      <c r="JS527"/>
      <c r="JT527"/>
      <c r="JU527"/>
      <c r="JV527"/>
      <c r="JW527"/>
      <c r="JX527"/>
      <c r="JY527"/>
      <c r="JZ527"/>
      <c r="KA527"/>
      <c r="KB527"/>
      <c r="KC527"/>
      <c r="KD527"/>
      <c r="KE527"/>
      <c r="KF527"/>
      <c r="KG527"/>
      <c r="KH527"/>
      <c r="KI527"/>
      <c r="KJ527"/>
      <c r="KK527"/>
      <c r="KL527"/>
      <c r="KM527"/>
      <c r="KN527"/>
      <c r="KO527"/>
      <c r="KP527"/>
      <c r="KQ527"/>
      <c r="KR527"/>
      <c r="KS527"/>
    </row>
    <row r="528" spans="2:305" hidden="1" x14ac:dyDescent="0.25">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M528"/>
      <c r="CN528"/>
      <c r="CO528"/>
      <c r="CP528"/>
      <c r="CQ528"/>
      <c r="CR528"/>
      <c r="CS528"/>
      <c r="CT528"/>
      <c r="CU528"/>
      <c r="CV528"/>
      <c r="CW528"/>
      <c r="CX528"/>
      <c r="CY528"/>
      <c r="CZ528"/>
      <c r="DA528"/>
      <c r="DB528"/>
      <c r="DC528"/>
      <c r="DD528"/>
      <c r="DE528"/>
      <c r="DF528"/>
      <c r="DG528"/>
      <c r="DH528"/>
      <c r="DI528"/>
      <c r="DJ528"/>
      <c r="DK528"/>
      <c r="DL528"/>
      <c r="DM528"/>
      <c r="DN528"/>
      <c r="DO528"/>
      <c r="DP528"/>
      <c r="DQ528"/>
      <c r="DR528"/>
      <c r="DS528"/>
      <c r="DT528"/>
      <c r="DU528"/>
      <c r="DV528"/>
      <c r="DW528"/>
      <c r="DX528"/>
      <c r="DY528"/>
      <c r="DZ528"/>
      <c r="EA528"/>
      <c r="EB528"/>
      <c r="EC528"/>
      <c r="ED528"/>
      <c r="EE528"/>
      <c r="EF528"/>
      <c r="EG528"/>
      <c r="EH528"/>
      <c r="EI528"/>
      <c r="EJ528"/>
      <c r="EK528"/>
      <c r="EL528"/>
      <c r="EM528"/>
      <c r="EN528"/>
      <c r="EO528"/>
      <c r="EP528"/>
      <c r="EQ528"/>
      <c r="ER528"/>
      <c r="ES528"/>
      <c r="ET528"/>
      <c r="EU528"/>
      <c r="EV528"/>
      <c r="EW528"/>
      <c r="EX528"/>
      <c r="EY528"/>
      <c r="EZ528"/>
      <c r="FA528"/>
      <c r="FB528"/>
      <c r="FC528"/>
      <c r="FD528"/>
      <c r="FE528"/>
      <c r="FF528"/>
      <c r="FG528"/>
      <c r="FH528"/>
      <c r="FI528"/>
      <c r="FJ528"/>
      <c r="FK528"/>
      <c r="FL528"/>
      <c r="FM528"/>
      <c r="FN528"/>
      <c r="FO528"/>
      <c r="FP528"/>
      <c r="FQ528"/>
      <c r="FR528"/>
      <c r="FS528"/>
      <c r="FT528"/>
      <c r="FU528"/>
      <c r="FV528"/>
      <c r="FW528"/>
      <c r="FX528"/>
      <c r="FY528"/>
      <c r="FZ528"/>
      <c r="GA528"/>
      <c r="GB528"/>
      <c r="GC528"/>
      <c r="GD528"/>
      <c r="GE528"/>
      <c r="GF528"/>
      <c r="GG528"/>
      <c r="GH528"/>
      <c r="GI528"/>
      <c r="GJ528"/>
      <c r="GK528"/>
      <c r="GL528"/>
      <c r="GM528"/>
      <c r="GN528"/>
      <c r="GO528"/>
      <c r="GP528"/>
      <c r="GQ528"/>
      <c r="GR528"/>
      <c r="GS528"/>
      <c r="GT528"/>
      <c r="GU528"/>
      <c r="GV528"/>
      <c r="GW528"/>
      <c r="GX528"/>
      <c r="GY528"/>
      <c r="GZ528"/>
      <c r="HA528"/>
      <c r="HB528"/>
      <c r="HC528"/>
      <c r="HD528"/>
      <c r="HE528"/>
      <c r="HF528"/>
      <c r="HG528"/>
      <c r="HH528"/>
      <c r="HI528"/>
      <c r="HJ528"/>
      <c r="HK528"/>
      <c r="HL528"/>
      <c r="HM528"/>
      <c r="HN528"/>
      <c r="HO528"/>
      <c r="HP528"/>
      <c r="HQ528"/>
      <c r="HR528"/>
      <c r="HS528"/>
      <c r="HT528"/>
      <c r="HU528"/>
      <c r="HV528"/>
      <c r="HW528"/>
      <c r="HX528"/>
      <c r="HY528"/>
      <c r="HZ528"/>
      <c r="IA528"/>
      <c r="IB528"/>
      <c r="IC528"/>
      <c r="ID528"/>
      <c r="IE528"/>
      <c r="IF528"/>
      <c r="IG528"/>
      <c r="IH528"/>
      <c r="II528"/>
      <c r="IJ528"/>
      <c r="IK528"/>
      <c r="IL528"/>
      <c r="IM528"/>
      <c r="IN528"/>
      <c r="IO528"/>
      <c r="IP528"/>
      <c r="IQ528"/>
      <c r="IR528"/>
      <c r="IS528"/>
      <c r="IT528"/>
      <c r="IU528"/>
      <c r="IV528"/>
      <c r="IW528"/>
      <c r="IX528"/>
      <c r="IY528"/>
      <c r="IZ528"/>
      <c r="JA528"/>
      <c r="JB528"/>
      <c r="JC528"/>
      <c r="JD528"/>
      <c r="JE528"/>
      <c r="JF528"/>
      <c r="JG528"/>
      <c r="JH528"/>
      <c r="JI528"/>
      <c r="JJ528"/>
      <c r="JK528"/>
      <c r="JL528"/>
      <c r="JM528"/>
      <c r="JN528"/>
      <c r="JO528"/>
      <c r="JP528"/>
      <c r="JQ528"/>
      <c r="JR528"/>
      <c r="JS528"/>
      <c r="JT528"/>
      <c r="JU528"/>
      <c r="JV528"/>
      <c r="JW528"/>
      <c r="JX528"/>
      <c r="JY528"/>
      <c r="JZ528"/>
      <c r="KA528"/>
      <c r="KB528"/>
      <c r="KC528"/>
      <c r="KD528"/>
      <c r="KE528"/>
      <c r="KF528"/>
      <c r="KG528"/>
      <c r="KH528"/>
      <c r="KI528"/>
      <c r="KJ528"/>
      <c r="KK528"/>
      <c r="KL528"/>
      <c r="KM528"/>
      <c r="KN528"/>
      <c r="KO528"/>
      <c r="KP528"/>
      <c r="KQ528"/>
      <c r="KR528"/>
      <c r="KS528"/>
    </row>
    <row r="529" spans="2:305" hidden="1" x14ac:dyDescent="0.25">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M529"/>
      <c r="CN529"/>
      <c r="CO529"/>
      <c r="CP529"/>
      <c r="CQ529"/>
      <c r="CR529"/>
      <c r="CS529"/>
      <c r="CT529"/>
      <c r="CU529"/>
      <c r="CV529"/>
      <c r="CW529"/>
      <c r="CX529"/>
      <c r="CY529"/>
      <c r="CZ529"/>
      <c r="DA529"/>
      <c r="DB529"/>
      <c r="DC529"/>
      <c r="DD529"/>
      <c r="DE529"/>
      <c r="DF529"/>
      <c r="DG529"/>
      <c r="DH529"/>
      <c r="DI529"/>
      <c r="DJ529"/>
      <c r="DK529"/>
      <c r="DL529"/>
      <c r="DM529"/>
      <c r="DN529"/>
      <c r="DO529"/>
      <c r="DP529"/>
      <c r="DQ529"/>
      <c r="DR529"/>
      <c r="DS529"/>
      <c r="DT529"/>
      <c r="DU529"/>
      <c r="DV529"/>
      <c r="DW529"/>
      <c r="DX529"/>
      <c r="DY529"/>
      <c r="DZ529"/>
      <c r="EA529"/>
      <c r="EB529"/>
      <c r="EC529"/>
      <c r="ED529"/>
      <c r="EE529"/>
      <c r="EF529"/>
      <c r="EG529"/>
      <c r="EH529"/>
      <c r="EI529"/>
      <c r="EJ529"/>
      <c r="EK529"/>
      <c r="EL529"/>
      <c r="EM529"/>
      <c r="EN529"/>
      <c r="EO529"/>
      <c r="EP529"/>
      <c r="EQ529"/>
      <c r="ER529"/>
      <c r="ES529"/>
      <c r="ET529"/>
      <c r="EU529"/>
      <c r="EV529"/>
      <c r="EW529"/>
      <c r="EX529"/>
      <c r="EY529"/>
      <c r="EZ529"/>
      <c r="FA529"/>
      <c r="FB529"/>
      <c r="FC529"/>
      <c r="FD529"/>
      <c r="FE529"/>
      <c r="FF529"/>
      <c r="FG529"/>
      <c r="FH529"/>
      <c r="FI529"/>
      <c r="FJ529"/>
      <c r="FK529"/>
      <c r="FL529"/>
      <c r="FM529"/>
      <c r="FN529"/>
      <c r="FO529"/>
      <c r="FP529"/>
      <c r="FQ529"/>
      <c r="FR529"/>
      <c r="FS529"/>
      <c r="FT529"/>
      <c r="FU529"/>
      <c r="FV529"/>
      <c r="FW529"/>
      <c r="FX529"/>
      <c r="FY529"/>
      <c r="FZ529"/>
      <c r="GA529"/>
      <c r="GB529"/>
      <c r="GC529"/>
      <c r="GD529"/>
      <c r="GE529"/>
      <c r="GF529"/>
      <c r="GG529"/>
      <c r="GH529"/>
      <c r="GI529"/>
      <c r="GJ529"/>
      <c r="GK529"/>
      <c r="GL529"/>
      <c r="GM529"/>
      <c r="GN529"/>
      <c r="GO529"/>
      <c r="GP529"/>
      <c r="GQ529"/>
      <c r="GR529"/>
      <c r="GS529"/>
      <c r="GT529"/>
      <c r="GU529"/>
      <c r="GV529"/>
      <c r="GW529"/>
      <c r="GX529"/>
      <c r="GY529"/>
      <c r="GZ529"/>
      <c r="HA529"/>
      <c r="HB529"/>
      <c r="HC529"/>
      <c r="HD529"/>
      <c r="HE529"/>
      <c r="HF529"/>
      <c r="HG529"/>
      <c r="HH529"/>
      <c r="HI529"/>
      <c r="HJ529"/>
      <c r="HK529"/>
      <c r="HL529"/>
      <c r="HM529"/>
      <c r="HN529"/>
      <c r="HO529"/>
      <c r="HP529"/>
      <c r="HQ529"/>
      <c r="HR529"/>
      <c r="HS529"/>
      <c r="HT529"/>
      <c r="HU529"/>
      <c r="HV529"/>
      <c r="HW529"/>
      <c r="HX529"/>
      <c r="HY529"/>
      <c r="HZ529"/>
      <c r="IA529"/>
      <c r="IB529"/>
      <c r="IC529"/>
      <c r="ID529"/>
      <c r="IE529"/>
      <c r="IF529"/>
      <c r="IG529"/>
      <c r="IH529"/>
      <c r="II529"/>
      <c r="IJ529"/>
      <c r="IK529"/>
      <c r="IL529"/>
      <c r="IM529"/>
      <c r="IN529"/>
      <c r="IO529"/>
      <c r="IP529"/>
      <c r="IQ529"/>
      <c r="IR529"/>
      <c r="IS529"/>
      <c r="IT529"/>
      <c r="IU529"/>
      <c r="IV529"/>
      <c r="IW529"/>
      <c r="IX529"/>
      <c r="IY529"/>
      <c r="IZ529"/>
      <c r="JA529"/>
      <c r="JB529"/>
      <c r="JC529"/>
      <c r="JD529"/>
      <c r="JE529"/>
      <c r="JF529"/>
      <c r="JG529"/>
      <c r="JH529"/>
      <c r="JI529"/>
      <c r="JJ529"/>
      <c r="JK529"/>
      <c r="JL529"/>
      <c r="JM529"/>
      <c r="JN529"/>
      <c r="JO529"/>
      <c r="JP529"/>
      <c r="JQ529"/>
      <c r="JR529"/>
      <c r="JS529"/>
      <c r="JT529"/>
      <c r="JU529"/>
      <c r="JV529"/>
      <c r="JW529"/>
      <c r="JX529"/>
      <c r="JY529"/>
      <c r="JZ529"/>
      <c r="KA529"/>
      <c r="KB529"/>
      <c r="KC529"/>
      <c r="KD529"/>
      <c r="KE529"/>
      <c r="KF529"/>
      <c r="KG529"/>
      <c r="KH529"/>
      <c r="KI529"/>
      <c r="KJ529"/>
      <c r="KK529"/>
      <c r="KL529"/>
      <c r="KM529"/>
      <c r="KN529"/>
      <c r="KO529"/>
      <c r="KP529"/>
      <c r="KQ529"/>
      <c r="KR529"/>
      <c r="KS529"/>
    </row>
    <row r="530" spans="2:305" hidden="1" x14ac:dyDescent="0.25">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M530"/>
      <c r="CN530"/>
      <c r="CO530"/>
      <c r="CP530"/>
      <c r="CQ530"/>
      <c r="CR530"/>
      <c r="CS530"/>
      <c r="CT530"/>
      <c r="CU530"/>
      <c r="CV530"/>
      <c r="CW530"/>
      <c r="CX530"/>
      <c r="CY530"/>
      <c r="CZ530"/>
      <c r="DA530"/>
      <c r="DB530"/>
      <c r="DC530"/>
      <c r="DD530"/>
      <c r="DE530"/>
      <c r="DF530"/>
      <c r="DG530"/>
      <c r="DH530"/>
      <c r="DI530"/>
      <c r="DJ530"/>
      <c r="DK530"/>
      <c r="DL530"/>
      <c r="DM530"/>
      <c r="DN530"/>
      <c r="DO530"/>
      <c r="DP530"/>
      <c r="DQ530"/>
      <c r="DR530"/>
      <c r="DS530"/>
      <c r="DT530"/>
      <c r="DU530"/>
      <c r="DV530"/>
      <c r="DW530"/>
      <c r="DX530"/>
      <c r="DY530"/>
      <c r="DZ530"/>
      <c r="EA530"/>
      <c r="EB530"/>
      <c r="EC530"/>
      <c r="ED530"/>
      <c r="EE530"/>
      <c r="EF530"/>
      <c r="EG530"/>
      <c r="EH530"/>
      <c r="EI530"/>
      <c r="EJ530"/>
      <c r="EK530"/>
      <c r="EL530"/>
      <c r="EM530"/>
      <c r="EN530"/>
      <c r="EO530"/>
      <c r="EP530"/>
      <c r="EQ530"/>
      <c r="ER530"/>
      <c r="ES530"/>
      <c r="ET530"/>
      <c r="EU530"/>
      <c r="EV530"/>
      <c r="EW530"/>
      <c r="EX530"/>
      <c r="EY530"/>
      <c r="EZ530"/>
      <c r="FA530"/>
      <c r="FB530"/>
      <c r="FC530"/>
      <c r="FD530"/>
      <c r="FE530"/>
      <c r="FF530"/>
      <c r="FG530"/>
      <c r="FH530"/>
      <c r="FI530"/>
      <c r="FJ530"/>
      <c r="FK530"/>
      <c r="FL530"/>
      <c r="FM530"/>
      <c r="FN530"/>
      <c r="FO530"/>
      <c r="FP530"/>
      <c r="FQ530"/>
      <c r="FR530"/>
      <c r="FS530"/>
      <c r="FT530"/>
      <c r="FU530"/>
      <c r="FV530"/>
      <c r="FW530"/>
      <c r="FX530"/>
      <c r="FY530"/>
      <c r="FZ530"/>
      <c r="GA530"/>
      <c r="GB530"/>
      <c r="GC530"/>
      <c r="GD530"/>
      <c r="GE530"/>
      <c r="GF530"/>
      <c r="GG530"/>
      <c r="GH530"/>
      <c r="GI530"/>
      <c r="GJ530"/>
      <c r="GK530"/>
      <c r="GL530"/>
      <c r="GM530"/>
      <c r="GN530"/>
      <c r="GO530"/>
      <c r="GP530"/>
      <c r="GQ530"/>
      <c r="GR530"/>
      <c r="GS530"/>
      <c r="GT530"/>
      <c r="GU530"/>
      <c r="GV530"/>
      <c r="GW530"/>
      <c r="GX530"/>
      <c r="GY530"/>
      <c r="GZ530"/>
      <c r="HA530"/>
      <c r="HB530"/>
      <c r="HC530"/>
      <c r="HD530"/>
      <c r="HE530"/>
      <c r="HF530"/>
      <c r="HG530"/>
      <c r="HH530"/>
      <c r="HI530"/>
      <c r="HJ530"/>
      <c r="HK530"/>
      <c r="HL530"/>
      <c r="HM530"/>
      <c r="HN530"/>
      <c r="HO530"/>
      <c r="HP530"/>
      <c r="HQ530"/>
      <c r="HR530"/>
      <c r="HS530"/>
      <c r="HT530"/>
      <c r="HU530"/>
      <c r="HV530"/>
      <c r="HW530"/>
      <c r="HX530"/>
      <c r="HY530"/>
      <c r="HZ530"/>
      <c r="IA530"/>
      <c r="IB530"/>
      <c r="IC530"/>
      <c r="ID530"/>
      <c r="IE530"/>
      <c r="IF530"/>
      <c r="IG530"/>
      <c r="IH530"/>
      <c r="II530"/>
      <c r="IJ530"/>
      <c r="IK530"/>
      <c r="IL530"/>
      <c r="IM530"/>
      <c r="IN530"/>
      <c r="IO530"/>
      <c r="IP530"/>
      <c r="IQ530"/>
      <c r="IR530"/>
      <c r="IS530"/>
      <c r="IT530"/>
      <c r="IU530"/>
      <c r="IV530"/>
      <c r="IW530"/>
      <c r="IX530"/>
      <c r="IY530"/>
      <c r="IZ530"/>
      <c r="JA530"/>
      <c r="JB530"/>
      <c r="JC530"/>
      <c r="JD530"/>
      <c r="JE530"/>
      <c r="JF530"/>
      <c r="JG530"/>
      <c r="JH530"/>
      <c r="JI530"/>
      <c r="JJ530"/>
      <c r="JK530"/>
      <c r="JL530"/>
      <c r="JM530"/>
      <c r="JN530"/>
      <c r="JO530"/>
      <c r="JP530"/>
      <c r="JQ530"/>
      <c r="JR530"/>
      <c r="JS530"/>
      <c r="JT530"/>
      <c r="JU530"/>
      <c r="JV530"/>
      <c r="JW530"/>
      <c r="JX530"/>
      <c r="JY530"/>
      <c r="JZ530"/>
      <c r="KA530"/>
      <c r="KB530"/>
      <c r="KC530"/>
      <c r="KD530"/>
      <c r="KE530"/>
      <c r="KF530"/>
      <c r="KG530"/>
      <c r="KH530"/>
      <c r="KI530"/>
      <c r="KJ530"/>
      <c r="KK530"/>
      <c r="KL530"/>
      <c r="KM530"/>
      <c r="KN530"/>
      <c r="KO530"/>
      <c r="KP530"/>
      <c r="KQ530"/>
      <c r="KR530"/>
      <c r="KS530"/>
    </row>
    <row r="531" spans="2:305" hidden="1" x14ac:dyDescent="0.25">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M531"/>
      <c r="CN531"/>
      <c r="CO531"/>
      <c r="CP531"/>
      <c r="CQ531"/>
      <c r="CR531"/>
      <c r="CS531"/>
      <c r="CT531"/>
      <c r="CU531"/>
      <c r="CV531"/>
      <c r="CW531"/>
      <c r="CX531"/>
      <c r="CY531"/>
      <c r="CZ531"/>
      <c r="DA531"/>
      <c r="DB531"/>
      <c r="DC531"/>
      <c r="DD531"/>
      <c r="DE531"/>
      <c r="DF531"/>
      <c r="DG531"/>
      <c r="DH531"/>
      <c r="DI531"/>
      <c r="DJ531"/>
      <c r="DK531"/>
      <c r="DL531"/>
      <c r="DM531"/>
      <c r="DN531"/>
      <c r="DO531"/>
      <c r="DP531"/>
      <c r="DQ531"/>
      <c r="DR531"/>
      <c r="DS531"/>
      <c r="DT531"/>
      <c r="DU531"/>
      <c r="DV531"/>
      <c r="DW531"/>
      <c r="DX531"/>
      <c r="DY531"/>
      <c r="DZ531"/>
      <c r="EA531"/>
      <c r="EB531"/>
      <c r="EC531"/>
      <c r="ED531"/>
      <c r="EE531"/>
      <c r="EF531"/>
      <c r="EG531"/>
      <c r="EH531"/>
      <c r="EI531"/>
      <c r="EJ531"/>
      <c r="EK531"/>
      <c r="EL531"/>
      <c r="EM531"/>
      <c r="EN531"/>
      <c r="EO531"/>
      <c r="EP531"/>
      <c r="EQ531"/>
      <c r="ER531"/>
      <c r="ES531"/>
      <c r="ET531"/>
      <c r="EU531"/>
      <c r="EV531"/>
      <c r="EW531"/>
      <c r="EX531"/>
      <c r="EY531"/>
      <c r="EZ531"/>
      <c r="FA531"/>
      <c r="FB531"/>
      <c r="FC531"/>
      <c r="FD531"/>
      <c r="FE531"/>
      <c r="FF531"/>
      <c r="FG531"/>
      <c r="FH531"/>
      <c r="FI531"/>
      <c r="FJ531"/>
      <c r="FK531"/>
      <c r="FL531"/>
      <c r="FM531"/>
      <c r="FN531"/>
      <c r="FO531"/>
      <c r="FP531"/>
      <c r="FQ531"/>
      <c r="FR531"/>
      <c r="FS531"/>
      <c r="FT531"/>
      <c r="FU531"/>
      <c r="FV531"/>
      <c r="FW531"/>
      <c r="FX531"/>
      <c r="FY531"/>
      <c r="FZ531"/>
      <c r="GA531"/>
      <c r="GB531"/>
      <c r="GC531"/>
      <c r="GD531"/>
      <c r="GE531"/>
      <c r="GF531"/>
      <c r="GG531"/>
      <c r="GH531"/>
      <c r="GI531"/>
      <c r="GJ531"/>
      <c r="GK531"/>
      <c r="GL531"/>
      <c r="GM531"/>
      <c r="GN531"/>
      <c r="GO531"/>
      <c r="GP531"/>
      <c r="GQ531"/>
      <c r="GR531"/>
      <c r="GS531"/>
      <c r="GT531"/>
      <c r="GU531"/>
      <c r="GV531"/>
      <c r="GW531"/>
      <c r="GX531"/>
      <c r="GY531"/>
      <c r="GZ531"/>
      <c r="HA531"/>
      <c r="HB531"/>
      <c r="HC531"/>
      <c r="HD531"/>
      <c r="HE531"/>
      <c r="HF531"/>
      <c r="HG531"/>
      <c r="HH531"/>
      <c r="HI531"/>
      <c r="HJ531"/>
      <c r="HK531"/>
      <c r="HL531"/>
      <c r="HM531"/>
      <c r="HN531"/>
      <c r="HO531"/>
      <c r="HP531"/>
      <c r="HQ531"/>
      <c r="HR531"/>
      <c r="HS531"/>
      <c r="HT531"/>
      <c r="HU531"/>
      <c r="HV531"/>
      <c r="HW531"/>
      <c r="HX531"/>
      <c r="HY531"/>
      <c r="HZ531"/>
      <c r="IA531"/>
      <c r="IB531"/>
      <c r="IC531"/>
      <c r="ID531"/>
      <c r="IE531"/>
      <c r="IF531"/>
      <c r="IG531"/>
      <c r="IH531"/>
      <c r="II531"/>
      <c r="IJ531"/>
      <c r="IK531"/>
      <c r="IL531"/>
      <c r="IM531"/>
      <c r="IN531"/>
      <c r="IO531"/>
      <c r="IP531"/>
      <c r="IQ531"/>
      <c r="IR531"/>
      <c r="IS531"/>
      <c r="IT531"/>
      <c r="IU531"/>
      <c r="IV531"/>
      <c r="IW531"/>
      <c r="IX531"/>
      <c r="IY531"/>
      <c r="IZ531"/>
      <c r="JA531"/>
      <c r="JB531"/>
      <c r="JC531"/>
      <c r="JD531"/>
      <c r="JE531"/>
      <c r="JF531"/>
      <c r="JG531"/>
      <c r="JH531"/>
      <c r="JI531"/>
      <c r="JJ531"/>
      <c r="JK531"/>
      <c r="JL531"/>
      <c r="JM531"/>
      <c r="JN531"/>
      <c r="JO531"/>
      <c r="JP531"/>
      <c r="JQ531"/>
      <c r="JR531"/>
      <c r="JS531"/>
      <c r="JT531"/>
      <c r="JU531"/>
      <c r="JV531"/>
      <c r="JW531"/>
      <c r="JX531"/>
      <c r="JY531"/>
      <c r="JZ531"/>
      <c r="KA531"/>
      <c r="KB531"/>
      <c r="KC531"/>
      <c r="KD531"/>
      <c r="KE531"/>
      <c r="KF531"/>
      <c r="KG531"/>
      <c r="KH531"/>
      <c r="KI531"/>
      <c r="KJ531"/>
      <c r="KK531"/>
      <c r="KL531"/>
      <c r="KM531"/>
      <c r="KN531"/>
      <c r="KO531"/>
      <c r="KP531"/>
      <c r="KQ531"/>
      <c r="KR531"/>
      <c r="KS531"/>
    </row>
    <row r="532" spans="2:305" hidden="1" x14ac:dyDescent="0.25">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M532"/>
      <c r="CN532"/>
      <c r="CO532"/>
      <c r="CP532"/>
      <c r="CQ532"/>
      <c r="CR532"/>
      <c r="CS532"/>
      <c r="CT532"/>
      <c r="CU532"/>
      <c r="CV532"/>
      <c r="CW532"/>
      <c r="CX532"/>
      <c r="CY532"/>
      <c r="CZ532"/>
      <c r="DA532"/>
      <c r="DB532"/>
      <c r="DC532"/>
      <c r="DD532"/>
      <c r="DE532"/>
      <c r="DF532"/>
      <c r="DG532"/>
      <c r="DH532"/>
      <c r="DI532"/>
      <c r="DJ532"/>
      <c r="DK532"/>
      <c r="DL532"/>
      <c r="DM532"/>
      <c r="DN532"/>
      <c r="DO532"/>
      <c r="DP532"/>
      <c r="DQ532"/>
      <c r="DR532"/>
      <c r="DS532"/>
      <c r="DT532"/>
      <c r="DU532"/>
      <c r="DV532"/>
      <c r="DW532"/>
      <c r="DX532"/>
      <c r="DY532"/>
      <c r="DZ532"/>
      <c r="EA532"/>
      <c r="EB532"/>
      <c r="EC532"/>
      <c r="ED532"/>
      <c r="EE532"/>
      <c r="EF532"/>
      <c r="EG532"/>
      <c r="EH532"/>
      <c r="EI532"/>
      <c r="EJ532"/>
      <c r="EK532"/>
      <c r="EL532"/>
      <c r="EM532"/>
      <c r="EN532"/>
      <c r="EO532"/>
      <c r="EP532"/>
      <c r="EQ532"/>
      <c r="ER532"/>
      <c r="ES532"/>
      <c r="ET532"/>
      <c r="EU532"/>
      <c r="EV532"/>
      <c r="EW532"/>
      <c r="EX532"/>
      <c r="EY532"/>
      <c r="EZ532"/>
      <c r="FA532"/>
      <c r="FB532"/>
      <c r="FC532"/>
      <c r="FD532"/>
      <c r="FE532"/>
      <c r="FF532"/>
      <c r="FG532"/>
      <c r="FH532"/>
      <c r="FI532"/>
      <c r="FJ532"/>
      <c r="FK532"/>
      <c r="FL532"/>
      <c r="FM532"/>
      <c r="FN532"/>
      <c r="FO532"/>
      <c r="FP532"/>
      <c r="FQ532"/>
      <c r="FR532"/>
      <c r="FS532"/>
      <c r="FT532"/>
      <c r="FU532"/>
      <c r="FV532"/>
      <c r="FW532"/>
      <c r="FX532"/>
      <c r="FY532"/>
      <c r="FZ532"/>
      <c r="GA532"/>
      <c r="GB532"/>
      <c r="GC532"/>
      <c r="GD532"/>
      <c r="GE532"/>
      <c r="GF532"/>
      <c r="GG532"/>
      <c r="GH532"/>
      <c r="GI532"/>
      <c r="GJ532"/>
      <c r="GK532"/>
      <c r="GL532"/>
      <c r="GM532"/>
      <c r="GN532"/>
      <c r="GO532"/>
      <c r="GP532"/>
      <c r="GQ532"/>
      <c r="GR532"/>
      <c r="GS532"/>
      <c r="GT532"/>
      <c r="GU532"/>
      <c r="GV532"/>
      <c r="GW532"/>
      <c r="GX532"/>
      <c r="GY532"/>
      <c r="GZ532"/>
      <c r="HA532"/>
      <c r="HB532"/>
      <c r="HC532"/>
      <c r="HD532"/>
      <c r="HE532"/>
      <c r="HF532"/>
      <c r="HG532"/>
      <c r="HH532"/>
      <c r="HI532"/>
      <c r="HJ532"/>
      <c r="HK532"/>
      <c r="HL532"/>
      <c r="HM532"/>
      <c r="HN532"/>
      <c r="HO532"/>
      <c r="HP532"/>
      <c r="HQ532"/>
      <c r="HR532"/>
      <c r="HS532"/>
      <c r="HT532"/>
      <c r="HU532"/>
      <c r="HV532"/>
      <c r="HW532"/>
      <c r="HX532"/>
      <c r="HY532"/>
      <c r="HZ532"/>
      <c r="IA532"/>
      <c r="IB532"/>
      <c r="IC532"/>
      <c r="ID532"/>
      <c r="IE532"/>
      <c r="IF532"/>
      <c r="IG532"/>
      <c r="IH532"/>
      <c r="II532"/>
      <c r="IJ532"/>
      <c r="IK532"/>
      <c r="IL532"/>
      <c r="IM532"/>
      <c r="IN532"/>
      <c r="IO532"/>
      <c r="IP532"/>
      <c r="IQ532"/>
      <c r="IR532"/>
      <c r="IS532"/>
      <c r="IT532"/>
      <c r="IU532"/>
      <c r="IV532"/>
      <c r="IW532"/>
      <c r="IX532"/>
      <c r="IY532"/>
      <c r="IZ532"/>
      <c r="JA532"/>
      <c r="JB532"/>
      <c r="JC532"/>
      <c r="JD532"/>
      <c r="JE532"/>
      <c r="JF532"/>
      <c r="JG532"/>
      <c r="JH532"/>
      <c r="JI532"/>
      <c r="JJ532"/>
      <c r="JK532"/>
      <c r="JL532"/>
      <c r="JM532"/>
      <c r="JN532"/>
      <c r="JO532"/>
      <c r="JP532"/>
      <c r="JQ532"/>
      <c r="JR532"/>
      <c r="JS532"/>
      <c r="JT532"/>
      <c r="JU532"/>
      <c r="JV532"/>
      <c r="JW532"/>
      <c r="JX532"/>
      <c r="JY532"/>
      <c r="JZ532"/>
      <c r="KA532"/>
      <c r="KB532"/>
      <c r="KC532"/>
      <c r="KD532"/>
      <c r="KE532"/>
      <c r="KF532"/>
      <c r="KG532"/>
      <c r="KH532"/>
      <c r="KI532"/>
      <c r="KJ532"/>
      <c r="KK532"/>
      <c r="KL532"/>
      <c r="KM532"/>
      <c r="KN532"/>
      <c r="KO532"/>
      <c r="KP532"/>
      <c r="KQ532"/>
      <c r="KR532"/>
      <c r="KS532"/>
    </row>
    <row r="533" spans="2:305" hidden="1" x14ac:dyDescent="0.25">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M533"/>
      <c r="CN533"/>
      <c r="CO533"/>
      <c r="CP533"/>
      <c r="CQ533"/>
      <c r="CR533"/>
      <c r="CS533"/>
      <c r="CT533"/>
      <c r="CU533"/>
      <c r="CV533"/>
      <c r="CW533"/>
      <c r="CX533"/>
      <c r="CY533"/>
      <c r="CZ533"/>
      <c r="DA533"/>
      <c r="DB533"/>
      <c r="DC533"/>
      <c r="DD533"/>
      <c r="DE533"/>
      <c r="DF533"/>
      <c r="DG533"/>
      <c r="DH533"/>
      <c r="DI533"/>
      <c r="DJ533"/>
      <c r="DK533"/>
      <c r="DL533"/>
      <c r="DM533"/>
      <c r="DN533"/>
      <c r="DO533"/>
      <c r="DP533"/>
      <c r="DQ533"/>
      <c r="DR533"/>
      <c r="DS533"/>
      <c r="DT533"/>
      <c r="DU533"/>
      <c r="DV533"/>
      <c r="DW533"/>
      <c r="DX533"/>
      <c r="DY533"/>
      <c r="DZ533"/>
      <c r="EA533"/>
      <c r="EB533"/>
      <c r="EC533"/>
      <c r="ED533"/>
      <c r="EE533"/>
      <c r="EF533"/>
      <c r="EG533"/>
      <c r="EH533"/>
      <c r="EI533"/>
      <c r="EJ533"/>
      <c r="EK533"/>
      <c r="EL533"/>
      <c r="EM533"/>
      <c r="EN533"/>
      <c r="EO533"/>
      <c r="EP533"/>
      <c r="EQ533"/>
      <c r="ER533"/>
      <c r="ES533"/>
      <c r="ET533"/>
      <c r="EU533"/>
      <c r="EV533"/>
      <c r="EW533"/>
      <c r="EX533"/>
      <c r="EY533"/>
      <c r="EZ533"/>
      <c r="FA533"/>
      <c r="FB533"/>
      <c r="FC533"/>
      <c r="FD533"/>
      <c r="FE533"/>
      <c r="FF533"/>
      <c r="FG533"/>
      <c r="FH533"/>
      <c r="FI533"/>
      <c r="FJ533"/>
      <c r="FK533"/>
      <c r="FL533"/>
      <c r="FM533"/>
      <c r="FN533"/>
      <c r="FO533"/>
      <c r="FP533"/>
      <c r="FQ533"/>
      <c r="FR533"/>
      <c r="FS533"/>
      <c r="FT533"/>
      <c r="FU533"/>
      <c r="FV533"/>
      <c r="FW533"/>
      <c r="FX533"/>
      <c r="FY533"/>
      <c r="FZ533"/>
      <c r="GA533"/>
      <c r="GB533"/>
      <c r="GC533"/>
      <c r="GD533"/>
      <c r="GE533"/>
      <c r="GF533"/>
      <c r="GG533"/>
      <c r="GH533"/>
      <c r="GI533"/>
      <c r="GJ533"/>
      <c r="GK533"/>
      <c r="GL533"/>
      <c r="GM533"/>
      <c r="GN533"/>
      <c r="GO533"/>
      <c r="GP533"/>
      <c r="GQ533"/>
      <c r="GR533"/>
      <c r="GS533"/>
      <c r="GT533"/>
      <c r="GU533"/>
      <c r="GV533"/>
      <c r="GW533"/>
      <c r="GX533"/>
      <c r="GY533"/>
      <c r="GZ533"/>
      <c r="HA533"/>
      <c r="HB533"/>
      <c r="HC533"/>
      <c r="HD533"/>
      <c r="HE533"/>
      <c r="HF533"/>
      <c r="HG533"/>
      <c r="HH533"/>
      <c r="HI533"/>
      <c r="HJ533"/>
      <c r="HK533"/>
      <c r="HL533"/>
      <c r="HM533"/>
      <c r="HN533"/>
      <c r="HO533"/>
      <c r="HP533"/>
      <c r="HQ533"/>
      <c r="HR533"/>
      <c r="HS533"/>
      <c r="HT533"/>
      <c r="HU533"/>
      <c r="HV533"/>
      <c r="HW533"/>
      <c r="HX533"/>
      <c r="HY533"/>
      <c r="HZ533"/>
      <c r="IA533"/>
      <c r="IB533"/>
      <c r="IC533"/>
      <c r="ID533"/>
      <c r="IE533"/>
      <c r="IF533"/>
      <c r="IG533"/>
      <c r="IH533"/>
      <c r="II533"/>
      <c r="IJ533"/>
      <c r="IK533"/>
      <c r="IL533"/>
      <c r="IM533"/>
      <c r="IN533"/>
      <c r="IO533"/>
      <c r="IP533"/>
      <c r="IQ533"/>
      <c r="IR533"/>
      <c r="IS533"/>
      <c r="IT533"/>
      <c r="IU533"/>
      <c r="IV533"/>
      <c r="IW533"/>
      <c r="IX533"/>
      <c r="IY533"/>
      <c r="IZ533"/>
      <c r="JA533"/>
      <c r="JB533"/>
      <c r="JC533"/>
      <c r="JD533"/>
      <c r="JE533"/>
      <c r="JF533"/>
      <c r="JG533"/>
      <c r="JH533"/>
      <c r="JI533"/>
      <c r="JJ533"/>
      <c r="JK533"/>
      <c r="JL533"/>
      <c r="JM533"/>
      <c r="JN533"/>
      <c r="JO533"/>
      <c r="JP533"/>
      <c r="JQ533"/>
      <c r="JR533"/>
      <c r="JS533"/>
      <c r="JT533"/>
      <c r="JU533"/>
      <c r="JV533"/>
      <c r="JW533"/>
      <c r="JX533"/>
      <c r="JY533"/>
      <c r="JZ533"/>
      <c r="KA533"/>
      <c r="KB533"/>
      <c r="KC533"/>
      <c r="KD533"/>
      <c r="KE533"/>
      <c r="KF533"/>
      <c r="KG533"/>
      <c r="KH533"/>
      <c r="KI533"/>
      <c r="KJ533"/>
      <c r="KK533"/>
      <c r="KL533"/>
      <c r="KM533"/>
      <c r="KN533"/>
      <c r="KO533"/>
      <c r="KP533"/>
      <c r="KQ533"/>
      <c r="KR533"/>
      <c r="KS533"/>
    </row>
    <row r="534" spans="2:305" hidden="1" x14ac:dyDescent="0.25">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M534"/>
      <c r="CN534"/>
      <c r="CO534"/>
      <c r="CP534"/>
      <c r="CQ534"/>
      <c r="CR534"/>
      <c r="CS534"/>
      <c r="CT534"/>
      <c r="CU534"/>
      <c r="CV534"/>
      <c r="CW534"/>
      <c r="CX534"/>
      <c r="CY534"/>
      <c r="CZ534"/>
      <c r="DA534"/>
      <c r="DB534"/>
      <c r="DC534"/>
      <c r="DD534"/>
      <c r="DE534"/>
      <c r="DF534"/>
      <c r="DG534"/>
      <c r="DH534"/>
      <c r="DI534"/>
      <c r="DJ534"/>
      <c r="DK534"/>
      <c r="DL534"/>
      <c r="DM534"/>
      <c r="DN534"/>
      <c r="DO534"/>
      <c r="DP534"/>
      <c r="DQ534"/>
      <c r="DR534"/>
      <c r="DS534"/>
      <c r="DT534"/>
      <c r="DU534"/>
      <c r="DV534"/>
      <c r="DW534"/>
      <c r="DX534"/>
      <c r="DY534"/>
      <c r="DZ534"/>
      <c r="EA534"/>
      <c r="EB534"/>
      <c r="EC534"/>
      <c r="ED534"/>
      <c r="EE534"/>
      <c r="EF534"/>
      <c r="EG534"/>
      <c r="EH534"/>
      <c r="EI534"/>
      <c r="EJ534"/>
      <c r="EK534"/>
      <c r="EL534"/>
      <c r="EM534"/>
      <c r="EN534"/>
      <c r="EO534"/>
      <c r="EP534"/>
      <c r="EQ534"/>
      <c r="ER534"/>
      <c r="ES534"/>
      <c r="ET534"/>
      <c r="EU534"/>
      <c r="EV534"/>
      <c r="EW534"/>
      <c r="EX534"/>
      <c r="EY534"/>
      <c r="EZ534"/>
      <c r="FA534"/>
      <c r="FB534"/>
      <c r="FC534"/>
      <c r="FD534"/>
      <c r="FE534"/>
      <c r="FF534"/>
      <c r="FG534"/>
      <c r="FH534"/>
      <c r="FI534"/>
      <c r="FJ534"/>
      <c r="FK534"/>
      <c r="FL534"/>
      <c r="FM534"/>
      <c r="FN534"/>
      <c r="FO534"/>
      <c r="FP534"/>
      <c r="FQ534"/>
      <c r="FR534"/>
      <c r="FS534"/>
      <c r="FT534"/>
      <c r="FU534"/>
      <c r="FV534"/>
      <c r="FW534"/>
      <c r="FX534"/>
      <c r="FY534"/>
      <c r="FZ534"/>
      <c r="GA534"/>
      <c r="GB534"/>
      <c r="GC534"/>
      <c r="GD534"/>
      <c r="GE534"/>
      <c r="GF534"/>
      <c r="GG534"/>
      <c r="GH534"/>
      <c r="GI534"/>
      <c r="GJ534"/>
      <c r="GK534"/>
      <c r="GL534"/>
      <c r="GM534"/>
      <c r="GN534"/>
      <c r="GO534"/>
      <c r="GP534"/>
      <c r="GQ534"/>
      <c r="GR534"/>
      <c r="GS534"/>
      <c r="GT534"/>
      <c r="GU534"/>
      <c r="GV534"/>
      <c r="GW534"/>
      <c r="GX534"/>
      <c r="GY534"/>
      <c r="GZ534"/>
      <c r="HA534"/>
      <c r="HB534"/>
      <c r="HC534"/>
      <c r="HD534"/>
      <c r="HE534"/>
      <c r="HF534"/>
      <c r="HG534"/>
      <c r="HH534"/>
      <c r="HI534"/>
      <c r="HJ534"/>
      <c r="HK534"/>
      <c r="HL534"/>
      <c r="HM534"/>
      <c r="HN534"/>
      <c r="HO534"/>
      <c r="HP534"/>
      <c r="HQ534"/>
      <c r="HR534"/>
      <c r="HS534"/>
      <c r="HT534"/>
      <c r="HU534"/>
      <c r="HV534"/>
      <c r="HW534"/>
      <c r="HX534"/>
      <c r="HY534"/>
      <c r="HZ534"/>
      <c r="IA534"/>
      <c r="IB534"/>
      <c r="IC534"/>
      <c r="ID534"/>
      <c r="IE534"/>
      <c r="IF534"/>
      <c r="IG534"/>
      <c r="IH534"/>
      <c r="II534"/>
      <c r="IJ534"/>
      <c r="IK534"/>
      <c r="IL534"/>
      <c r="IM534"/>
      <c r="IN534"/>
      <c r="IO534"/>
      <c r="IP534"/>
      <c r="IQ534"/>
      <c r="IR534"/>
      <c r="IS534"/>
      <c r="IT534"/>
      <c r="IU534"/>
      <c r="IV534"/>
      <c r="IW534"/>
      <c r="IX534"/>
      <c r="IY534"/>
      <c r="IZ534"/>
      <c r="JA534"/>
      <c r="JB534"/>
      <c r="JC534"/>
      <c r="JD534"/>
      <c r="JE534"/>
      <c r="JF534"/>
      <c r="JG534"/>
      <c r="JH534"/>
      <c r="JI534"/>
      <c r="JJ534"/>
      <c r="JK534"/>
      <c r="JL534"/>
      <c r="JM534"/>
      <c r="JN534"/>
      <c r="JO534"/>
      <c r="JP534"/>
      <c r="JQ534"/>
      <c r="JR534"/>
      <c r="JS534"/>
      <c r="JT534"/>
      <c r="JU534"/>
      <c r="JV534"/>
      <c r="JW534"/>
      <c r="JX534"/>
      <c r="JY534"/>
      <c r="JZ534"/>
      <c r="KA534"/>
      <c r="KB534"/>
      <c r="KC534"/>
      <c r="KD534"/>
      <c r="KE534"/>
      <c r="KF534"/>
      <c r="KG534"/>
      <c r="KH534"/>
      <c r="KI534"/>
      <c r="KJ534"/>
      <c r="KK534"/>
      <c r="KL534"/>
      <c r="KM534"/>
      <c r="KN534"/>
      <c r="KO534"/>
      <c r="KP534"/>
      <c r="KQ534"/>
      <c r="KR534"/>
      <c r="KS534"/>
    </row>
    <row r="535" spans="2:305" hidden="1" x14ac:dyDescent="0.2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M535"/>
      <c r="CN535"/>
      <c r="CO535"/>
      <c r="CP535"/>
      <c r="CQ535"/>
      <c r="CR535"/>
      <c r="CS535"/>
      <c r="CT535"/>
      <c r="CU535"/>
      <c r="CV535"/>
      <c r="CW535"/>
      <c r="CX535"/>
      <c r="CY535"/>
      <c r="CZ535"/>
      <c r="DA535"/>
      <c r="DB535"/>
      <c r="DC535"/>
      <c r="DD535"/>
      <c r="DE535"/>
      <c r="DF535"/>
      <c r="DG535"/>
      <c r="DH535"/>
      <c r="DI535"/>
      <c r="DJ535"/>
      <c r="DK535"/>
      <c r="DL535"/>
      <c r="DM535"/>
      <c r="DN535"/>
      <c r="DO535"/>
      <c r="DP535"/>
      <c r="DQ535"/>
      <c r="DR535"/>
      <c r="DS535"/>
      <c r="DT535"/>
      <c r="DU535"/>
      <c r="DV535"/>
      <c r="DW535"/>
      <c r="DX535"/>
      <c r="DY535"/>
      <c r="DZ535"/>
      <c r="EA535"/>
      <c r="EB535"/>
      <c r="EC535"/>
      <c r="ED535"/>
      <c r="EE535"/>
      <c r="EF535"/>
      <c r="EG535"/>
      <c r="EH535"/>
      <c r="EI535"/>
      <c r="EJ535"/>
      <c r="EK535"/>
      <c r="EL535"/>
      <c r="EM535"/>
      <c r="EN535"/>
      <c r="EO535"/>
      <c r="EP535"/>
      <c r="EQ535"/>
      <c r="ER535"/>
      <c r="ES535"/>
      <c r="ET535"/>
      <c r="EU535"/>
      <c r="EV535"/>
      <c r="EW535"/>
      <c r="EX535"/>
      <c r="EY535"/>
      <c r="EZ535"/>
      <c r="FA535"/>
      <c r="FB535"/>
      <c r="FC535"/>
      <c r="FD535"/>
      <c r="FE535"/>
      <c r="FF535"/>
      <c r="FG535"/>
      <c r="FH535"/>
      <c r="FI535"/>
      <c r="FJ535"/>
      <c r="FK535"/>
      <c r="FL535"/>
      <c r="FM535"/>
      <c r="FN535"/>
      <c r="FO535"/>
      <c r="FP535"/>
      <c r="FQ535"/>
      <c r="FR535"/>
      <c r="FS535"/>
      <c r="FT535"/>
      <c r="FU535"/>
      <c r="FV535"/>
      <c r="FW535"/>
      <c r="FX535"/>
      <c r="FY535"/>
      <c r="FZ535"/>
      <c r="GA535"/>
      <c r="GB535"/>
      <c r="GC535"/>
      <c r="GD535"/>
      <c r="GE535"/>
      <c r="GF535"/>
      <c r="GG535"/>
      <c r="GH535"/>
      <c r="GI535"/>
      <c r="GJ535"/>
      <c r="GK535"/>
      <c r="GL535"/>
      <c r="GM535"/>
      <c r="GN535"/>
      <c r="GO535"/>
      <c r="GP535"/>
      <c r="GQ535"/>
      <c r="GR535"/>
      <c r="GS535"/>
      <c r="GT535"/>
      <c r="GU535"/>
      <c r="GV535"/>
      <c r="GW535"/>
      <c r="GX535"/>
      <c r="GY535"/>
      <c r="GZ535"/>
      <c r="HA535"/>
      <c r="HB535"/>
      <c r="HC535"/>
      <c r="HD535"/>
      <c r="HE535"/>
      <c r="HF535"/>
      <c r="HG535"/>
      <c r="HH535"/>
      <c r="HI535"/>
      <c r="HJ535"/>
      <c r="HK535"/>
      <c r="HL535"/>
      <c r="HM535"/>
      <c r="HN535"/>
      <c r="HO535"/>
      <c r="HP535"/>
      <c r="HQ535"/>
      <c r="HR535"/>
      <c r="HS535"/>
      <c r="HT535"/>
      <c r="HU535"/>
      <c r="HV535"/>
      <c r="HW535"/>
      <c r="HX535"/>
      <c r="HY535"/>
      <c r="HZ535"/>
      <c r="IA535"/>
      <c r="IB535"/>
      <c r="IC535"/>
      <c r="ID535"/>
      <c r="IE535"/>
      <c r="IF535"/>
      <c r="IG535"/>
      <c r="IH535"/>
      <c r="II535"/>
      <c r="IJ535"/>
      <c r="IK535"/>
      <c r="IL535"/>
      <c r="IM535"/>
      <c r="IN535"/>
      <c r="IO535"/>
      <c r="IP535"/>
      <c r="IQ535"/>
      <c r="IR535"/>
      <c r="IS535"/>
      <c r="IT535"/>
      <c r="IU535"/>
      <c r="IV535"/>
      <c r="IW535"/>
      <c r="IX535"/>
      <c r="IY535"/>
      <c r="IZ535"/>
      <c r="JA535"/>
      <c r="JB535"/>
      <c r="JC535"/>
      <c r="JD535"/>
      <c r="JE535"/>
      <c r="JF535"/>
      <c r="JG535"/>
      <c r="JH535"/>
      <c r="JI535"/>
      <c r="JJ535"/>
      <c r="JK535"/>
      <c r="JL535"/>
      <c r="JM535"/>
      <c r="JN535"/>
      <c r="JO535"/>
      <c r="JP535"/>
      <c r="JQ535"/>
      <c r="JR535"/>
      <c r="JS535"/>
      <c r="JT535"/>
      <c r="JU535"/>
      <c r="JV535"/>
      <c r="JW535"/>
      <c r="JX535"/>
      <c r="JY535"/>
      <c r="JZ535"/>
      <c r="KA535"/>
      <c r="KB535"/>
      <c r="KC535"/>
      <c r="KD535"/>
      <c r="KE535"/>
      <c r="KF535"/>
      <c r="KG535"/>
      <c r="KH535"/>
      <c r="KI535"/>
      <c r="KJ535"/>
      <c r="KK535"/>
      <c r="KL535"/>
      <c r="KM535"/>
      <c r="KN535"/>
      <c r="KO535"/>
      <c r="KP535"/>
      <c r="KQ535"/>
      <c r="KR535"/>
      <c r="KS535"/>
    </row>
    <row r="536" spans="2:305" hidden="1" x14ac:dyDescent="0.25">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M536"/>
      <c r="CN536"/>
      <c r="CO536"/>
      <c r="CP536"/>
      <c r="CQ536"/>
      <c r="CR536"/>
      <c r="CS536"/>
      <c r="CT536"/>
      <c r="CU536"/>
      <c r="CV536"/>
      <c r="CW536"/>
      <c r="CX536"/>
      <c r="CY536"/>
      <c r="CZ536"/>
      <c r="DA536"/>
      <c r="DB536"/>
      <c r="DC536"/>
      <c r="DD536"/>
      <c r="DE536"/>
      <c r="DF536"/>
      <c r="DG536"/>
      <c r="DH536"/>
      <c r="DI536"/>
      <c r="DJ536"/>
      <c r="DK536"/>
      <c r="DL536"/>
      <c r="DM536"/>
      <c r="DN536"/>
      <c r="DO536"/>
      <c r="DP536"/>
      <c r="DQ536"/>
      <c r="DR536"/>
      <c r="DS536"/>
      <c r="DT536"/>
      <c r="DU536"/>
      <c r="DV536"/>
      <c r="DW536"/>
      <c r="DX536"/>
      <c r="DY536"/>
      <c r="DZ536"/>
      <c r="EA536"/>
      <c r="EB536"/>
      <c r="EC536"/>
      <c r="ED536"/>
      <c r="EE536"/>
      <c r="EF536"/>
      <c r="EG536"/>
      <c r="EH536"/>
      <c r="EI536"/>
      <c r="EJ536"/>
      <c r="EK536"/>
      <c r="EL536"/>
      <c r="EM536"/>
      <c r="EN536"/>
      <c r="EO536"/>
      <c r="EP536"/>
      <c r="EQ536"/>
      <c r="ER536"/>
      <c r="ES536"/>
      <c r="ET536"/>
      <c r="EU536"/>
      <c r="EV536"/>
      <c r="EW536"/>
      <c r="EX536"/>
      <c r="EY536"/>
      <c r="EZ536"/>
      <c r="FA536"/>
      <c r="FB536"/>
      <c r="FC536"/>
      <c r="FD536"/>
      <c r="FE536"/>
      <c r="FF536"/>
      <c r="FG536"/>
      <c r="FH536"/>
      <c r="FI536"/>
      <c r="FJ536"/>
      <c r="FK536"/>
      <c r="FL536"/>
      <c r="FM536"/>
      <c r="FN536"/>
      <c r="FO536"/>
      <c r="FP536"/>
      <c r="FQ536"/>
      <c r="FR536"/>
      <c r="FS536"/>
      <c r="FT536"/>
      <c r="FU536"/>
      <c r="FV536"/>
      <c r="FW536"/>
      <c r="FX536"/>
      <c r="FY536"/>
      <c r="FZ536"/>
      <c r="GA536"/>
      <c r="GB536"/>
      <c r="GC536"/>
      <c r="GD536"/>
      <c r="GE536"/>
      <c r="GF536"/>
      <c r="GG536"/>
      <c r="GH536"/>
      <c r="GI536"/>
      <c r="GJ536"/>
      <c r="GK536"/>
      <c r="GL536"/>
      <c r="GM536"/>
      <c r="GN536"/>
      <c r="GO536"/>
      <c r="GP536"/>
      <c r="GQ536"/>
      <c r="GR536"/>
      <c r="GS536"/>
      <c r="GT536"/>
      <c r="GU536"/>
      <c r="GV536"/>
      <c r="GW536"/>
      <c r="GX536"/>
      <c r="GY536"/>
      <c r="GZ536"/>
      <c r="HA536"/>
      <c r="HB536"/>
      <c r="HC536"/>
      <c r="HD536"/>
      <c r="HE536"/>
      <c r="HF536"/>
      <c r="HG536"/>
      <c r="HH536"/>
      <c r="HI536"/>
      <c r="HJ536"/>
      <c r="HK536"/>
      <c r="HL536"/>
      <c r="HM536"/>
      <c r="HN536"/>
      <c r="HO536"/>
      <c r="HP536"/>
      <c r="HQ536"/>
      <c r="HR536"/>
      <c r="HS536"/>
      <c r="HT536"/>
      <c r="HU536"/>
      <c r="HV536"/>
      <c r="HW536"/>
      <c r="HX536"/>
      <c r="HY536"/>
      <c r="HZ536"/>
      <c r="IA536"/>
      <c r="IB536"/>
      <c r="IC536"/>
      <c r="ID536"/>
      <c r="IE536"/>
      <c r="IF536"/>
      <c r="IG536"/>
      <c r="IH536"/>
      <c r="II536"/>
      <c r="IJ536"/>
      <c r="IK536"/>
      <c r="IL536"/>
      <c r="IM536"/>
      <c r="IN536"/>
      <c r="IO536"/>
      <c r="IP536"/>
      <c r="IQ536"/>
      <c r="IR536"/>
      <c r="IS536"/>
      <c r="IT536"/>
      <c r="IU536"/>
      <c r="IV536"/>
      <c r="IW536"/>
      <c r="IX536"/>
      <c r="IY536"/>
      <c r="IZ536"/>
      <c r="JA536"/>
      <c r="JB536"/>
      <c r="JC536"/>
      <c r="JD536"/>
      <c r="JE536"/>
      <c r="JF536"/>
      <c r="JG536"/>
      <c r="JH536"/>
      <c r="JI536"/>
      <c r="JJ536"/>
      <c r="JK536"/>
      <c r="JL536"/>
      <c r="JM536"/>
      <c r="JN536"/>
      <c r="JO536"/>
      <c r="JP536"/>
      <c r="JQ536"/>
      <c r="JR536"/>
      <c r="JS536"/>
      <c r="JT536"/>
      <c r="JU536"/>
      <c r="JV536"/>
      <c r="JW536"/>
      <c r="JX536"/>
      <c r="JY536"/>
      <c r="JZ536"/>
      <c r="KA536"/>
      <c r="KB536"/>
      <c r="KC536"/>
      <c r="KD536"/>
      <c r="KE536"/>
      <c r="KF536"/>
      <c r="KG536"/>
      <c r="KH536"/>
      <c r="KI536"/>
      <c r="KJ536"/>
      <c r="KK536"/>
      <c r="KL536"/>
      <c r="KM536"/>
      <c r="KN536"/>
      <c r="KO536"/>
      <c r="KP536"/>
      <c r="KQ536"/>
      <c r="KR536"/>
      <c r="KS536"/>
    </row>
    <row r="537" spans="2:305" hidden="1" x14ac:dyDescent="0.25">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M537"/>
      <c r="CN537"/>
      <c r="CO537"/>
      <c r="CP537"/>
      <c r="CQ537"/>
      <c r="CR537"/>
      <c r="CS537"/>
      <c r="CT537"/>
      <c r="CU537"/>
      <c r="CV537"/>
      <c r="CW537"/>
      <c r="CX537"/>
      <c r="CY537"/>
      <c r="CZ537"/>
      <c r="DA537"/>
      <c r="DB537"/>
      <c r="DC537"/>
      <c r="DD537"/>
      <c r="DE537"/>
      <c r="DF537"/>
      <c r="DG537"/>
      <c r="DH537"/>
      <c r="DI537"/>
      <c r="DJ537"/>
      <c r="DK537"/>
      <c r="DL537"/>
      <c r="DM537"/>
      <c r="DN537"/>
      <c r="DO537"/>
      <c r="DP537"/>
      <c r="DQ537"/>
      <c r="DR537"/>
      <c r="DS537"/>
      <c r="DT537"/>
      <c r="DU537"/>
      <c r="DV537"/>
      <c r="DW537"/>
      <c r="DX537"/>
      <c r="DY537"/>
      <c r="DZ537"/>
      <c r="EA537"/>
      <c r="EB537"/>
      <c r="EC537"/>
      <c r="ED537"/>
      <c r="EE537"/>
      <c r="EF537"/>
      <c r="EG537"/>
      <c r="EH537"/>
      <c r="EI537"/>
      <c r="EJ537"/>
      <c r="EK537"/>
      <c r="EL537"/>
      <c r="EM537"/>
      <c r="EN537"/>
      <c r="EO537"/>
      <c r="EP537"/>
      <c r="EQ537"/>
      <c r="ER537"/>
      <c r="ES537"/>
      <c r="ET537"/>
      <c r="EU537"/>
      <c r="EV537"/>
      <c r="EW537"/>
      <c r="EX537"/>
      <c r="EY537"/>
      <c r="EZ537"/>
      <c r="FA537"/>
      <c r="FB537"/>
      <c r="FC537"/>
      <c r="FD537"/>
      <c r="FE537"/>
      <c r="FF537"/>
      <c r="FG537"/>
      <c r="FH537"/>
      <c r="FI537"/>
      <c r="FJ537"/>
      <c r="FK537"/>
      <c r="FL537"/>
      <c r="FM537"/>
      <c r="FN537"/>
      <c r="FO537"/>
      <c r="FP537"/>
      <c r="FQ537"/>
      <c r="FR537"/>
      <c r="FS537"/>
      <c r="FT537"/>
      <c r="FU537"/>
      <c r="FV537"/>
      <c r="FW537"/>
      <c r="FX537"/>
      <c r="FY537"/>
      <c r="FZ537"/>
      <c r="GA537"/>
      <c r="GB537"/>
      <c r="GC537"/>
      <c r="GD537"/>
      <c r="GE537"/>
      <c r="GF537"/>
      <c r="GG537"/>
      <c r="GH537"/>
      <c r="GI537"/>
      <c r="GJ537"/>
      <c r="GK537"/>
      <c r="GL537"/>
      <c r="GM537"/>
      <c r="GN537"/>
      <c r="GO537"/>
      <c r="GP537"/>
      <c r="GQ537"/>
      <c r="GR537"/>
      <c r="GS537"/>
      <c r="GT537"/>
      <c r="GU537"/>
      <c r="GV537"/>
      <c r="GW537"/>
      <c r="GX537"/>
      <c r="GY537"/>
      <c r="GZ537"/>
      <c r="HA537"/>
      <c r="HB537"/>
      <c r="HC537"/>
      <c r="HD537"/>
      <c r="HE537"/>
      <c r="HF537"/>
      <c r="HG537"/>
      <c r="HH537"/>
      <c r="HI537"/>
      <c r="HJ537"/>
      <c r="HK537"/>
      <c r="HL537"/>
      <c r="HM537"/>
      <c r="HN537"/>
      <c r="HO537"/>
      <c r="HP537"/>
      <c r="HQ537"/>
      <c r="HR537"/>
      <c r="HS537"/>
      <c r="HT537"/>
      <c r="HU537"/>
      <c r="HV537"/>
      <c r="HW537"/>
      <c r="HX537"/>
      <c r="HY537"/>
      <c r="HZ537"/>
      <c r="IA537"/>
      <c r="IB537"/>
      <c r="IC537"/>
      <c r="ID537"/>
      <c r="IE537"/>
      <c r="IF537"/>
      <c r="IG537"/>
      <c r="IH537"/>
      <c r="II537"/>
      <c r="IJ537"/>
      <c r="IK537"/>
      <c r="IL537"/>
      <c r="IM537"/>
      <c r="IN537"/>
      <c r="IO537"/>
      <c r="IP537"/>
      <c r="IQ537"/>
      <c r="IR537"/>
      <c r="IS537"/>
      <c r="IT537"/>
      <c r="IU537"/>
      <c r="IV537"/>
      <c r="IW537"/>
      <c r="IX537"/>
      <c r="IY537"/>
      <c r="IZ537"/>
      <c r="JA537"/>
      <c r="JB537"/>
      <c r="JC537"/>
      <c r="JD537"/>
      <c r="JE537"/>
      <c r="JF537"/>
      <c r="JG537"/>
      <c r="JH537"/>
      <c r="JI537"/>
      <c r="JJ537"/>
      <c r="JK537"/>
      <c r="JL537"/>
      <c r="JM537"/>
      <c r="JN537"/>
      <c r="JO537"/>
      <c r="JP537"/>
      <c r="JQ537"/>
      <c r="JR537"/>
      <c r="JS537"/>
      <c r="JT537"/>
      <c r="JU537"/>
      <c r="JV537"/>
      <c r="JW537"/>
      <c r="JX537"/>
      <c r="JY537"/>
      <c r="JZ537"/>
      <c r="KA537"/>
      <c r="KB537"/>
      <c r="KC537"/>
      <c r="KD537"/>
      <c r="KE537"/>
      <c r="KF537"/>
      <c r="KG537"/>
      <c r="KH537"/>
      <c r="KI537"/>
      <c r="KJ537"/>
      <c r="KK537"/>
      <c r="KL537"/>
      <c r="KM537"/>
      <c r="KN537"/>
      <c r="KO537"/>
      <c r="KP537"/>
      <c r="KQ537"/>
      <c r="KR537"/>
      <c r="KS537"/>
    </row>
    <row r="538" spans="2:305" hidden="1" x14ac:dyDescent="0.25">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M538"/>
      <c r="CN538"/>
      <c r="CO538"/>
      <c r="CP538"/>
      <c r="CQ538"/>
      <c r="CR538"/>
      <c r="CS538"/>
      <c r="CT538"/>
      <c r="CU538"/>
      <c r="CV538"/>
      <c r="CW538"/>
      <c r="CX538"/>
      <c r="CY538"/>
      <c r="CZ538"/>
      <c r="DA538"/>
      <c r="DB538"/>
      <c r="DC538"/>
      <c r="DD538"/>
      <c r="DE538"/>
      <c r="DF538"/>
      <c r="DG538"/>
      <c r="DH538"/>
      <c r="DI538"/>
      <c r="DJ538"/>
      <c r="DK538"/>
      <c r="DL538"/>
      <c r="DM538"/>
      <c r="DN538"/>
      <c r="DO538"/>
      <c r="DP538"/>
      <c r="DQ538"/>
      <c r="DR538"/>
      <c r="DS538"/>
      <c r="DT538"/>
      <c r="DU538"/>
      <c r="DV538"/>
      <c r="DW538"/>
      <c r="DX538"/>
      <c r="DY538"/>
      <c r="DZ538"/>
      <c r="EA538"/>
      <c r="EB538"/>
      <c r="EC538"/>
      <c r="ED538"/>
      <c r="EE538"/>
      <c r="EF538"/>
      <c r="EG538"/>
      <c r="EH538"/>
      <c r="EI538"/>
      <c r="EJ538"/>
      <c r="EK538"/>
      <c r="EL538"/>
      <c r="EM538"/>
      <c r="EN538"/>
      <c r="EO538"/>
      <c r="EP538"/>
      <c r="EQ538"/>
      <c r="ER538"/>
      <c r="ES538"/>
      <c r="ET538"/>
      <c r="EU538"/>
      <c r="EV538"/>
      <c r="EW538"/>
      <c r="EX538"/>
      <c r="EY538"/>
      <c r="EZ538"/>
      <c r="FA538"/>
      <c r="FB538"/>
      <c r="FC538"/>
      <c r="FD538"/>
      <c r="FE538"/>
      <c r="FF538"/>
      <c r="FG538"/>
      <c r="FH538"/>
      <c r="FI538"/>
      <c r="FJ538"/>
      <c r="FK538"/>
      <c r="FL538"/>
      <c r="FM538"/>
      <c r="FN538"/>
      <c r="FO538"/>
      <c r="FP538"/>
      <c r="FQ538"/>
      <c r="FR538"/>
      <c r="FS538"/>
      <c r="FT538"/>
      <c r="FU538"/>
      <c r="FV538"/>
      <c r="FW538"/>
      <c r="FX538"/>
      <c r="FY538"/>
      <c r="FZ538"/>
      <c r="GA538"/>
      <c r="GB538"/>
      <c r="GC538"/>
      <c r="GD538"/>
      <c r="GE538"/>
      <c r="GF538"/>
      <c r="GG538"/>
      <c r="GH538"/>
      <c r="GI538"/>
      <c r="GJ538"/>
      <c r="GK538"/>
      <c r="GL538"/>
      <c r="GM538"/>
      <c r="GN538"/>
      <c r="GO538"/>
      <c r="GP538"/>
      <c r="GQ538"/>
      <c r="GR538"/>
      <c r="GS538"/>
      <c r="GT538"/>
      <c r="GU538"/>
      <c r="GV538"/>
      <c r="GW538"/>
      <c r="GX538"/>
      <c r="GY538"/>
      <c r="GZ538"/>
      <c r="HA538"/>
      <c r="HB538"/>
      <c r="HC538"/>
      <c r="HD538"/>
      <c r="HE538"/>
      <c r="HF538"/>
      <c r="HG538"/>
      <c r="HH538"/>
      <c r="HI538"/>
      <c r="HJ538"/>
      <c r="HK538"/>
      <c r="HL538"/>
      <c r="HM538"/>
      <c r="HN538"/>
      <c r="HO538"/>
      <c r="HP538"/>
      <c r="HQ538"/>
      <c r="HR538"/>
      <c r="HS538"/>
      <c r="HT538"/>
      <c r="HU538"/>
      <c r="HV538"/>
      <c r="HW538"/>
      <c r="HX538"/>
      <c r="HY538"/>
      <c r="HZ538"/>
      <c r="IA538"/>
      <c r="IB538"/>
      <c r="IC538"/>
      <c r="ID538"/>
      <c r="IE538"/>
      <c r="IF538"/>
      <c r="IG538"/>
      <c r="IH538"/>
      <c r="II538"/>
      <c r="IJ538"/>
      <c r="IK538"/>
      <c r="IL538"/>
      <c r="IM538"/>
      <c r="IN538"/>
      <c r="IO538"/>
      <c r="IP538"/>
      <c r="IQ538"/>
      <c r="IR538"/>
      <c r="IS538"/>
      <c r="IT538"/>
      <c r="IU538"/>
      <c r="IV538"/>
      <c r="IW538"/>
      <c r="IX538"/>
      <c r="IY538"/>
      <c r="IZ538"/>
      <c r="JA538"/>
      <c r="JB538"/>
      <c r="JC538"/>
      <c r="JD538"/>
      <c r="JE538"/>
      <c r="JF538"/>
      <c r="JG538"/>
      <c r="JH538"/>
      <c r="JI538"/>
      <c r="JJ538"/>
      <c r="JK538"/>
      <c r="JL538"/>
      <c r="JM538"/>
      <c r="JN538"/>
      <c r="JO538"/>
      <c r="JP538"/>
      <c r="JQ538"/>
      <c r="JR538"/>
      <c r="JS538"/>
      <c r="JT538"/>
      <c r="JU538"/>
      <c r="JV538"/>
      <c r="JW538"/>
      <c r="JX538"/>
      <c r="JY538"/>
      <c r="JZ538"/>
      <c r="KA538"/>
      <c r="KB538"/>
      <c r="KC538"/>
      <c r="KD538"/>
      <c r="KE538"/>
      <c r="KF538"/>
      <c r="KG538"/>
      <c r="KH538"/>
      <c r="KI538"/>
      <c r="KJ538"/>
      <c r="KK538"/>
      <c r="KL538"/>
      <c r="KM538"/>
      <c r="KN538"/>
      <c r="KO538"/>
      <c r="KP538"/>
      <c r="KQ538"/>
      <c r="KR538"/>
      <c r="KS538"/>
    </row>
    <row r="539" spans="2:305" hidden="1" x14ac:dyDescent="0.25">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M539"/>
      <c r="CN539"/>
      <c r="CO539"/>
      <c r="CP539"/>
      <c r="CQ539"/>
      <c r="CR539"/>
      <c r="CS539"/>
      <c r="CT539"/>
      <c r="CU539"/>
      <c r="CV539"/>
      <c r="CW539"/>
      <c r="CX539"/>
      <c r="CY539"/>
      <c r="CZ539"/>
      <c r="DA539"/>
      <c r="DB539"/>
      <c r="DC539"/>
      <c r="DD539"/>
      <c r="DE539"/>
      <c r="DF539"/>
      <c r="DG539"/>
      <c r="DH539"/>
      <c r="DI539"/>
      <c r="DJ539"/>
      <c r="DK539"/>
      <c r="DL539"/>
      <c r="DM539"/>
      <c r="DN539"/>
      <c r="DO539"/>
      <c r="DP539"/>
      <c r="DQ539"/>
      <c r="DR539"/>
      <c r="DS539"/>
      <c r="DT539"/>
      <c r="DU539"/>
      <c r="DV539"/>
      <c r="DW539"/>
      <c r="DX539"/>
      <c r="DY539"/>
      <c r="DZ539"/>
      <c r="EA539"/>
      <c r="EB539"/>
      <c r="EC539"/>
      <c r="ED539"/>
      <c r="EE539"/>
      <c r="EF539"/>
      <c r="EG539"/>
      <c r="EH539"/>
      <c r="EI539"/>
      <c r="EJ539"/>
      <c r="EK539"/>
      <c r="EL539"/>
      <c r="EM539"/>
      <c r="EN539"/>
      <c r="EO539"/>
      <c r="EP539"/>
      <c r="EQ539"/>
      <c r="ER539"/>
      <c r="ES539"/>
      <c r="ET539"/>
      <c r="EU539"/>
      <c r="EV539"/>
      <c r="EW539"/>
      <c r="EX539"/>
      <c r="EY539"/>
      <c r="EZ539"/>
      <c r="FA539"/>
      <c r="FB539"/>
      <c r="FC539"/>
      <c r="FD539"/>
      <c r="FE539"/>
      <c r="FF539"/>
      <c r="FG539"/>
      <c r="FH539"/>
      <c r="FI539"/>
      <c r="FJ539"/>
      <c r="FK539"/>
      <c r="FL539"/>
      <c r="FM539"/>
      <c r="FN539"/>
      <c r="FO539"/>
      <c r="FP539"/>
      <c r="FQ539"/>
      <c r="FR539"/>
      <c r="FS539"/>
      <c r="FT539"/>
      <c r="FU539"/>
      <c r="FV539"/>
      <c r="FW539"/>
      <c r="FX539"/>
      <c r="FY539"/>
      <c r="FZ539"/>
      <c r="GA539"/>
      <c r="GB539"/>
      <c r="GC539"/>
      <c r="GD539"/>
      <c r="GE539"/>
      <c r="GF539"/>
      <c r="GG539"/>
      <c r="GH539"/>
      <c r="GI539"/>
      <c r="GJ539"/>
      <c r="GK539"/>
      <c r="GL539"/>
      <c r="GM539"/>
      <c r="GN539"/>
      <c r="GO539"/>
      <c r="GP539"/>
      <c r="GQ539"/>
      <c r="GR539"/>
      <c r="GS539"/>
      <c r="GT539"/>
      <c r="GU539"/>
      <c r="GV539"/>
      <c r="GW539"/>
      <c r="GX539"/>
      <c r="GY539"/>
      <c r="GZ539"/>
      <c r="HA539"/>
      <c r="HB539"/>
      <c r="HC539"/>
      <c r="HD539"/>
      <c r="HE539"/>
      <c r="HF539"/>
      <c r="HG539"/>
      <c r="HH539"/>
      <c r="HI539"/>
      <c r="HJ539"/>
      <c r="HK539"/>
      <c r="HL539"/>
      <c r="HM539"/>
      <c r="HN539"/>
      <c r="HO539"/>
      <c r="HP539"/>
      <c r="HQ539"/>
      <c r="HR539"/>
      <c r="HS539"/>
      <c r="HT539"/>
      <c r="HU539"/>
      <c r="HV539"/>
      <c r="HW539"/>
      <c r="HX539"/>
      <c r="HY539"/>
      <c r="HZ539"/>
      <c r="IA539"/>
      <c r="IB539"/>
      <c r="IC539"/>
      <c r="ID539"/>
      <c r="IE539"/>
      <c r="IF539"/>
      <c r="IG539"/>
      <c r="IH539"/>
      <c r="II539"/>
      <c r="IJ539"/>
      <c r="IK539"/>
      <c r="IL539"/>
      <c r="IM539"/>
      <c r="IN539"/>
      <c r="IO539"/>
      <c r="IP539"/>
      <c r="IQ539"/>
      <c r="IR539"/>
      <c r="IS539"/>
      <c r="IT539"/>
      <c r="IU539"/>
      <c r="IV539"/>
      <c r="IW539"/>
      <c r="IX539"/>
      <c r="IY539"/>
      <c r="IZ539"/>
      <c r="JA539"/>
      <c r="JB539"/>
      <c r="JC539"/>
      <c r="JD539"/>
      <c r="JE539"/>
      <c r="JF539"/>
      <c r="JG539"/>
      <c r="JH539"/>
      <c r="JI539"/>
      <c r="JJ539"/>
      <c r="JK539"/>
      <c r="JL539"/>
      <c r="JM539"/>
      <c r="JN539"/>
      <c r="JO539"/>
      <c r="JP539"/>
      <c r="JQ539"/>
      <c r="JR539"/>
      <c r="JS539"/>
      <c r="JT539"/>
      <c r="JU539"/>
      <c r="JV539"/>
      <c r="JW539"/>
      <c r="JX539"/>
      <c r="JY539"/>
      <c r="JZ539"/>
      <c r="KA539"/>
      <c r="KB539"/>
      <c r="KC539"/>
      <c r="KD539"/>
      <c r="KE539"/>
      <c r="KF539"/>
      <c r="KG539"/>
      <c r="KH539"/>
      <c r="KI539"/>
      <c r="KJ539"/>
      <c r="KK539"/>
      <c r="KL539"/>
      <c r="KM539"/>
      <c r="KN539"/>
      <c r="KO539"/>
      <c r="KP539"/>
      <c r="KQ539"/>
      <c r="KR539"/>
      <c r="KS539"/>
    </row>
    <row r="540" spans="2:305" hidden="1" x14ac:dyDescent="0.25">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M540"/>
      <c r="CN540"/>
      <c r="CO540"/>
      <c r="CP540"/>
      <c r="CQ540"/>
      <c r="CR540"/>
      <c r="CS540"/>
      <c r="CT540"/>
      <c r="CU540"/>
      <c r="CV540"/>
      <c r="CW540"/>
      <c r="CX540"/>
      <c r="CY540"/>
      <c r="CZ540"/>
      <c r="DA540"/>
      <c r="DB540"/>
      <c r="DC540"/>
      <c r="DD540"/>
      <c r="DE540"/>
      <c r="DF540"/>
      <c r="DG540"/>
      <c r="DH540"/>
      <c r="DI540"/>
      <c r="DJ540"/>
      <c r="DK540"/>
      <c r="DL540"/>
      <c r="DM540"/>
      <c r="DN540"/>
      <c r="DO540"/>
      <c r="DP540"/>
      <c r="DQ540"/>
      <c r="DR540"/>
      <c r="DS540"/>
      <c r="DT540"/>
      <c r="DU540"/>
      <c r="DV540"/>
      <c r="DW540"/>
      <c r="DX540"/>
      <c r="DY540"/>
      <c r="DZ540"/>
      <c r="EA540"/>
      <c r="EB540"/>
      <c r="EC540"/>
      <c r="ED540"/>
      <c r="EE540"/>
      <c r="EF540"/>
      <c r="EG540"/>
      <c r="EH540"/>
      <c r="EI540"/>
      <c r="EJ540"/>
      <c r="EK540"/>
      <c r="EL540"/>
      <c r="EM540"/>
      <c r="EN540"/>
      <c r="EO540"/>
      <c r="EP540"/>
      <c r="EQ540"/>
      <c r="ER540"/>
      <c r="ES540"/>
      <c r="ET540"/>
      <c r="EU540"/>
      <c r="EV540"/>
      <c r="EW540"/>
      <c r="EX540"/>
      <c r="EY540"/>
      <c r="EZ540"/>
      <c r="FA540"/>
      <c r="FB540"/>
      <c r="FC540"/>
      <c r="FD540"/>
      <c r="FE540"/>
      <c r="FF540"/>
      <c r="FG540"/>
      <c r="FH540"/>
      <c r="FI540"/>
      <c r="FJ540"/>
      <c r="FK540"/>
      <c r="FL540"/>
      <c r="FM540"/>
      <c r="FN540"/>
      <c r="FO540"/>
      <c r="FP540"/>
      <c r="FQ540"/>
      <c r="FR540"/>
      <c r="FS540"/>
      <c r="FT540"/>
      <c r="FU540"/>
      <c r="FV540"/>
      <c r="FW540"/>
      <c r="FX540"/>
      <c r="FY540"/>
      <c r="FZ540"/>
      <c r="GA540"/>
      <c r="GB540"/>
      <c r="GC540"/>
      <c r="GD540"/>
      <c r="GE540"/>
      <c r="GF540"/>
      <c r="GG540"/>
      <c r="GH540"/>
      <c r="GI540"/>
      <c r="GJ540"/>
      <c r="GK540"/>
      <c r="GL540"/>
      <c r="GM540"/>
      <c r="GN540"/>
      <c r="GO540"/>
      <c r="GP540"/>
      <c r="GQ540"/>
      <c r="GR540"/>
      <c r="GS540"/>
      <c r="GT540"/>
      <c r="GU540"/>
      <c r="GV540"/>
      <c r="GW540"/>
      <c r="GX540"/>
      <c r="GY540"/>
      <c r="GZ540"/>
      <c r="HA540"/>
      <c r="HB540"/>
      <c r="HC540"/>
      <c r="HD540"/>
      <c r="HE540"/>
      <c r="HF540"/>
      <c r="HG540"/>
      <c r="HH540"/>
      <c r="HI540"/>
      <c r="HJ540"/>
      <c r="HK540"/>
      <c r="HL540"/>
      <c r="HM540"/>
      <c r="HN540"/>
      <c r="HO540"/>
      <c r="HP540"/>
      <c r="HQ540"/>
      <c r="HR540"/>
      <c r="HS540"/>
      <c r="HT540"/>
      <c r="HU540"/>
      <c r="HV540"/>
      <c r="HW540"/>
      <c r="HX540"/>
      <c r="HY540"/>
      <c r="HZ540"/>
      <c r="IA540"/>
      <c r="IB540"/>
      <c r="IC540"/>
      <c r="ID540"/>
      <c r="IE540"/>
      <c r="IF540"/>
      <c r="IG540"/>
      <c r="IH540"/>
      <c r="II540"/>
      <c r="IJ540"/>
      <c r="IK540"/>
      <c r="IL540"/>
      <c r="IM540"/>
      <c r="IN540"/>
      <c r="IO540"/>
      <c r="IP540"/>
      <c r="IQ540"/>
      <c r="IR540"/>
      <c r="IS540"/>
      <c r="IT540"/>
      <c r="IU540"/>
      <c r="IV540"/>
      <c r="IW540"/>
      <c r="IX540"/>
      <c r="IY540"/>
      <c r="IZ540"/>
      <c r="JA540"/>
      <c r="JB540"/>
      <c r="JC540"/>
      <c r="JD540"/>
      <c r="JE540"/>
      <c r="JF540"/>
      <c r="JG540"/>
      <c r="JH540"/>
      <c r="JI540"/>
      <c r="JJ540"/>
      <c r="JK540"/>
      <c r="JL540"/>
      <c r="JM540"/>
      <c r="JN540"/>
      <c r="JO540"/>
      <c r="JP540"/>
      <c r="JQ540"/>
      <c r="JR540"/>
      <c r="JS540"/>
      <c r="JT540"/>
      <c r="JU540"/>
      <c r="JV540"/>
      <c r="JW540"/>
      <c r="JX540"/>
      <c r="JY540"/>
      <c r="JZ540"/>
      <c r="KA540"/>
      <c r="KB540"/>
      <c r="KC540"/>
      <c r="KD540"/>
      <c r="KE540"/>
      <c r="KF540"/>
      <c r="KG540"/>
      <c r="KH540"/>
      <c r="KI540"/>
      <c r="KJ540"/>
      <c r="KK540"/>
      <c r="KL540"/>
      <c r="KM540"/>
      <c r="KN540"/>
      <c r="KO540"/>
      <c r="KP540"/>
      <c r="KQ540"/>
      <c r="KR540"/>
      <c r="KS540"/>
    </row>
    <row r="541" spans="2:305" hidden="1" x14ac:dyDescent="0.25">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M541"/>
      <c r="CN541"/>
      <c r="CO541"/>
      <c r="CP541"/>
      <c r="CQ541"/>
      <c r="CR541"/>
      <c r="CS541"/>
      <c r="CT541"/>
      <c r="CU541"/>
      <c r="CV541"/>
      <c r="CW541"/>
      <c r="CX541"/>
      <c r="CY541"/>
      <c r="CZ541"/>
      <c r="DA541"/>
      <c r="DB541"/>
      <c r="DC541"/>
      <c r="DD541"/>
      <c r="DE541"/>
      <c r="DF541"/>
      <c r="DG541"/>
      <c r="DH541"/>
      <c r="DI541"/>
      <c r="DJ541"/>
      <c r="DK541"/>
      <c r="DL541"/>
      <c r="DM541"/>
      <c r="DN541"/>
      <c r="DO541"/>
      <c r="DP541"/>
      <c r="DQ541"/>
      <c r="DR541"/>
      <c r="DS541"/>
      <c r="DT541"/>
      <c r="DU541"/>
      <c r="DV541"/>
      <c r="DW541"/>
      <c r="DX541"/>
      <c r="DY541"/>
      <c r="DZ541"/>
      <c r="EA541"/>
      <c r="EB541"/>
      <c r="EC541"/>
      <c r="ED541"/>
      <c r="EE541"/>
      <c r="EF541"/>
      <c r="EG541"/>
      <c r="EH541"/>
      <c r="EI541"/>
      <c r="EJ541"/>
      <c r="EK541"/>
      <c r="EL541"/>
      <c r="EM541"/>
      <c r="EN541"/>
      <c r="EO541"/>
      <c r="EP541"/>
      <c r="EQ541"/>
      <c r="ER541"/>
      <c r="ES541"/>
      <c r="ET541"/>
      <c r="EU541"/>
      <c r="EV541"/>
      <c r="EW541"/>
      <c r="EX541"/>
      <c r="EY541"/>
      <c r="EZ541"/>
      <c r="FA541"/>
      <c r="FB541"/>
      <c r="FC541"/>
      <c r="FD541"/>
      <c r="FE541"/>
      <c r="FF541"/>
      <c r="FG541"/>
      <c r="FH541"/>
      <c r="FI541"/>
      <c r="FJ541"/>
      <c r="FK541"/>
      <c r="FL541"/>
      <c r="FM541"/>
      <c r="FN541"/>
      <c r="FO541"/>
      <c r="FP541"/>
      <c r="FQ541"/>
      <c r="FR541"/>
      <c r="FS541"/>
      <c r="FT541"/>
      <c r="FU541"/>
      <c r="FV541"/>
      <c r="FW541"/>
      <c r="FX541"/>
      <c r="FY541"/>
      <c r="FZ541"/>
      <c r="GA541"/>
      <c r="GB541"/>
      <c r="GC541"/>
      <c r="GD541"/>
      <c r="GE541"/>
      <c r="GF541"/>
      <c r="GG541"/>
      <c r="GH541"/>
      <c r="GI541"/>
      <c r="GJ541"/>
      <c r="GK541"/>
      <c r="GL541"/>
      <c r="GM541"/>
      <c r="GN541"/>
      <c r="GO541"/>
      <c r="GP541"/>
      <c r="GQ541"/>
      <c r="GR541"/>
      <c r="GS541"/>
      <c r="GT541"/>
      <c r="GU541"/>
      <c r="GV541"/>
      <c r="GW541"/>
      <c r="GX541"/>
      <c r="GY541"/>
      <c r="GZ541"/>
      <c r="HA541"/>
      <c r="HB541"/>
      <c r="HC541"/>
      <c r="HD541"/>
      <c r="HE541"/>
      <c r="HF541"/>
      <c r="HG541"/>
      <c r="HH541"/>
      <c r="HI541"/>
      <c r="HJ541"/>
      <c r="HK541"/>
      <c r="HL541"/>
      <c r="HM541"/>
      <c r="HN541"/>
      <c r="HO541"/>
      <c r="HP541"/>
      <c r="HQ541"/>
      <c r="HR541"/>
      <c r="HS541"/>
      <c r="HT541"/>
      <c r="HU541"/>
      <c r="HV541"/>
      <c r="HW541"/>
      <c r="HX541"/>
      <c r="HY541"/>
      <c r="HZ541"/>
      <c r="IA541"/>
      <c r="IB541"/>
      <c r="IC541"/>
      <c r="ID541"/>
      <c r="IE541"/>
      <c r="IF541"/>
      <c r="IG541"/>
      <c r="IH541"/>
      <c r="II541"/>
      <c r="IJ541"/>
      <c r="IK541"/>
      <c r="IL541"/>
      <c r="IM541"/>
      <c r="IN541"/>
      <c r="IO541"/>
      <c r="IP541"/>
      <c r="IQ541"/>
      <c r="IR541"/>
      <c r="IS541"/>
      <c r="IT541"/>
      <c r="IU541"/>
      <c r="IV541"/>
      <c r="IW541"/>
      <c r="IX541"/>
      <c r="IY541"/>
      <c r="IZ541"/>
      <c r="JA541"/>
      <c r="JB541"/>
      <c r="JC541"/>
      <c r="JD541"/>
      <c r="JE541"/>
      <c r="JF541"/>
      <c r="JG541"/>
      <c r="JH541"/>
      <c r="JI541"/>
      <c r="JJ541"/>
      <c r="JK541"/>
      <c r="JL541"/>
      <c r="JM541"/>
      <c r="JN541"/>
      <c r="JO541"/>
      <c r="JP541"/>
      <c r="JQ541"/>
      <c r="JR541"/>
      <c r="JS541"/>
      <c r="JT541"/>
      <c r="JU541"/>
      <c r="JV541"/>
      <c r="JW541"/>
      <c r="JX541"/>
      <c r="JY541"/>
      <c r="JZ541"/>
      <c r="KA541"/>
      <c r="KB541"/>
      <c r="KC541"/>
      <c r="KD541"/>
      <c r="KE541"/>
      <c r="KF541"/>
      <c r="KG541"/>
      <c r="KH541"/>
      <c r="KI541"/>
      <c r="KJ541"/>
      <c r="KK541"/>
      <c r="KL541"/>
      <c r="KM541"/>
      <c r="KN541"/>
      <c r="KO541"/>
      <c r="KP541"/>
      <c r="KQ541"/>
      <c r="KR541"/>
      <c r="KS541"/>
    </row>
    <row r="542" spans="2:305" hidden="1" x14ac:dyDescent="0.25">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c r="CQ542"/>
      <c r="CR542"/>
      <c r="CS542"/>
      <c r="CT542"/>
      <c r="CU542"/>
      <c r="CV542"/>
      <c r="CW542"/>
      <c r="CX542"/>
      <c r="CY542"/>
      <c r="CZ542"/>
      <c r="DA542"/>
      <c r="DB542"/>
      <c r="DC542"/>
      <c r="DD542"/>
      <c r="DE542"/>
      <c r="DF542"/>
      <c r="DG542"/>
      <c r="DH542"/>
      <c r="DI542"/>
      <c r="DJ542"/>
      <c r="DK542"/>
      <c r="DL542"/>
      <c r="DM542"/>
      <c r="DN542"/>
      <c r="DO542"/>
      <c r="DP542"/>
      <c r="DQ542"/>
      <c r="DR542"/>
      <c r="DS542"/>
      <c r="DT542"/>
      <c r="DU542"/>
      <c r="DV542"/>
      <c r="DW542"/>
      <c r="DX542"/>
      <c r="DY542"/>
      <c r="DZ542"/>
      <c r="EA542"/>
      <c r="EB542"/>
      <c r="EC542"/>
      <c r="ED542"/>
      <c r="EE542"/>
      <c r="EF542"/>
      <c r="EG542"/>
      <c r="EH542"/>
      <c r="EI542"/>
      <c r="EJ542"/>
      <c r="EK542"/>
      <c r="EL542"/>
      <c r="EM542"/>
      <c r="EN542"/>
      <c r="EO542"/>
      <c r="EP542"/>
      <c r="EQ542"/>
      <c r="ER542"/>
      <c r="ES542"/>
      <c r="ET542"/>
      <c r="EU542"/>
      <c r="EV542"/>
      <c r="EW542"/>
      <c r="EX542"/>
      <c r="EY542"/>
      <c r="EZ542"/>
      <c r="FA542"/>
      <c r="FB542"/>
      <c r="FC542"/>
      <c r="FD542"/>
      <c r="FE542"/>
      <c r="FF542"/>
      <c r="FG542"/>
      <c r="FH542"/>
      <c r="FI542"/>
      <c r="FJ542"/>
      <c r="FK542"/>
      <c r="FL542"/>
      <c r="FM542"/>
      <c r="FN542"/>
      <c r="FO542"/>
      <c r="FP542"/>
      <c r="FQ542"/>
      <c r="FR542"/>
      <c r="FS542"/>
      <c r="FT542"/>
      <c r="FU542"/>
      <c r="FV542"/>
      <c r="FW542"/>
      <c r="FX542"/>
      <c r="FY542"/>
      <c r="FZ542"/>
      <c r="GA542"/>
      <c r="GB542"/>
      <c r="GC542"/>
      <c r="GD542"/>
      <c r="GE542"/>
      <c r="GF542"/>
      <c r="GG542"/>
      <c r="GH542"/>
      <c r="GI542"/>
      <c r="GJ542"/>
      <c r="GK542"/>
      <c r="GL542"/>
      <c r="GM542"/>
      <c r="GN542"/>
      <c r="GO542"/>
      <c r="GP542"/>
      <c r="GQ542"/>
      <c r="GR542"/>
      <c r="GS542"/>
      <c r="GT542"/>
      <c r="GU542"/>
      <c r="GV542"/>
      <c r="GW542"/>
      <c r="GX542"/>
      <c r="GY542"/>
      <c r="GZ542"/>
      <c r="HA542"/>
      <c r="HB542"/>
      <c r="HC542"/>
      <c r="HD542"/>
      <c r="HE542"/>
      <c r="HF542"/>
      <c r="HG542"/>
      <c r="HH542"/>
      <c r="HI542"/>
      <c r="HJ542"/>
      <c r="HK542"/>
      <c r="HL542"/>
      <c r="HM542"/>
      <c r="HN542"/>
      <c r="HO542"/>
      <c r="HP542"/>
      <c r="HQ542"/>
      <c r="HR542"/>
      <c r="HS542"/>
      <c r="HT542"/>
      <c r="HU542"/>
      <c r="HV542"/>
      <c r="HW542"/>
      <c r="HX542"/>
      <c r="HY542"/>
      <c r="HZ542"/>
      <c r="IA542"/>
      <c r="IB542"/>
      <c r="IC542"/>
      <c r="ID542"/>
      <c r="IE542"/>
      <c r="IF542"/>
      <c r="IG542"/>
      <c r="IH542"/>
      <c r="II542"/>
      <c r="IJ542"/>
      <c r="IK542"/>
      <c r="IL542"/>
      <c r="IM542"/>
      <c r="IN542"/>
      <c r="IO542"/>
      <c r="IP542"/>
      <c r="IQ542"/>
      <c r="IR542"/>
      <c r="IS542"/>
      <c r="IT542"/>
      <c r="IU542"/>
      <c r="IV542"/>
      <c r="IW542"/>
      <c r="IX542"/>
      <c r="IY542"/>
      <c r="IZ542"/>
      <c r="JA542"/>
      <c r="JB542"/>
      <c r="JC542"/>
      <c r="JD542"/>
      <c r="JE542"/>
      <c r="JF542"/>
      <c r="JG542"/>
      <c r="JH542"/>
      <c r="JI542"/>
      <c r="JJ542"/>
      <c r="JK542"/>
      <c r="JL542"/>
      <c r="JM542"/>
      <c r="JN542"/>
      <c r="JO542"/>
      <c r="JP542"/>
      <c r="JQ542"/>
      <c r="JR542"/>
      <c r="JS542"/>
      <c r="JT542"/>
      <c r="JU542"/>
      <c r="JV542"/>
      <c r="JW542"/>
      <c r="JX542"/>
      <c r="JY542"/>
      <c r="JZ542"/>
      <c r="KA542"/>
      <c r="KB542"/>
      <c r="KC542"/>
      <c r="KD542"/>
      <c r="KE542"/>
      <c r="KF542"/>
      <c r="KG542"/>
      <c r="KH542"/>
      <c r="KI542"/>
      <c r="KJ542"/>
      <c r="KK542"/>
      <c r="KL542"/>
      <c r="KM542"/>
      <c r="KN542"/>
      <c r="KO542"/>
      <c r="KP542"/>
      <c r="KQ542"/>
      <c r="KR542"/>
      <c r="KS542"/>
    </row>
    <row r="543" spans="2:305" hidden="1" x14ac:dyDescent="0.25">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M543"/>
      <c r="CN543"/>
      <c r="CO543"/>
      <c r="CP543"/>
      <c r="CQ543"/>
      <c r="CR543"/>
      <c r="CS543"/>
      <c r="CT543"/>
      <c r="CU543"/>
      <c r="CV543"/>
      <c r="CW543"/>
      <c r="CX543"/>
      <c r="CY543"/>
      <c r="CZ543"/>
      <c r="DA543"/>
      <c r="DB543"/>
      <c r="DC543"/>
      <c r="DD543"/>
      <c r="DE543"/>
      <c r="DF543"/>
      <c r="DG543"/>
      <c r="DH543"/>
      <c r="DI543"/>
      <c r="DJ543"/>
      <c r="DK543"/>
      <c r="DL543"/>
      <c r="DM543"/>
      <c r="DN543"/>
      <c r="DO543"/>
      <c r="DP543"/>
      <c r="DQ543"/>
      <c r="DR543"/>
      <c r="DS543"/>
      <c r="DT543"/>
      <c r="DU543"/>
      <c r="DV543"/>
      <c r="DW543"/>
      <c r="DX543"/>
      <c r="DY543"/>
      <c r="DZ543"/>
      <c r="EA543"/>
      <c r="EB543"/>
      <c r="EC543"/>
      <c r="ED543"/>
      <c r="EE543"/>
      <c r="EF543"/>
      <c r="EG543"/>
      <c r="EH543"/>
      <c r="EI543"/>
      <c r="EJ543"/>
      <c r="EK543"/>
      <c r="EL543"/>
      <c r="EM543"/>
      <c r="EN543"/>
      <c r="EO543"/>
      <c r="EP543"/>
      <c r="EQ543"/>
      <c r="ER543"/>
      <c r="ES543"/>
      <c r="ET543"/>
      <c r="EU543"/>
      <c r="EV543"/>
      <c r="EW543"/>
      <c r="EX543"/>
      <c r="EY543"/>
      <c r="EZ543"/>
      <c r="FA543"/>
      <c r="FB543"/>
      <c r="FC543"/>
      <c r="FD543"/>
      <c r="FE543"/>
      <c r="FF543"/>
      <c r="FG543"/>
      <c r="FH543"/>
      <c r="FI543"/>
      <c r="FJ543"/>
      <c r="FK543"/>
      <c r="FL543"/>
      <c r="FM543"/>
      <c r="FN543"/>
      <c r="FO543"/>
      <c r="FP543"/>
      <c r="FQ543"/>
      <c r="FR543"/>
      <c r="FS543"/>
      <c r="FT543"/>
      <c r="FU543"/>
      <c r="FV543"/>
      <c r="FW543"/>
      <c r="FX543"/>
      <c r="FY543"/>
      <c r="FZ543"/>
      <c r="GA543"/>
      <c r="GB543"/>
      <c r="GC543"/>
      <c r="GD543"/>
      <c r="GE543"/>
      <c r="GF543"/>
      <c r="GG543"/>
      <c r="GH543"/>
      <c r="GI543"/>
      <c r="GJ543"/>
      <c r="GK543"/>
      <c r="GL543"/>
      <c r="GM543"/>
      <c r="GN543"/>
      <c r="GO543"/>
      <c r="GP543"/>
      <c r="GQ543"/>
      <c r="GR543"/>
      <c r="GS543"/>
      <c r="GT543"/>
      <c r="GU543"/>
      <c r="GV543"/>
      <c r="GW543"/>
      <c r="GX543"/>
      <c r="GY543"/>
      <c r="GZ543"/>
      <c r="HA543"/>
      <c r="HB543"/>
      <c r="HC543"/>
      <c r="HD543"/>
      <c r="HE543"/>
      <c r="HF543"/>
      <c r="HG543"/>
      <c r="HH543"/>
      <c r="HI543"/>
      <c r="HJ543"/>
      <c r="HK543"/>
      <c r="HL543"/>
      <c r="HM543"/>
      <c r="HN543"/>
      <c r="HO543"/>
      <c r="HP543"/>
      <c r="HQ543"/>
      <c r="HR543"/>
      <c r="HS543"/>
      <c r="HT543"/>
      <c r="HU543"/>
      <c r="HV543"/>
      <c r="HW543"/>
      <c r="HX543"/>
      <c r="HY543"/>
      <c r="HZ543"/>
      <c r="IA543"/>
      <c r="IB543"/>
      <c r="IC543"/>
      <c r="ID543"/>
      <c r="IE543"/>
      <c r="IF543"/>
      <c r="IG543"/>
      <c r="IH543"/>
      <c r="II543"/>
      <c r="IJ543"/>
      <c r="IK543"/>
      <c r="IL543"/>
      <c r="IM543"/>
      <c r="IN543"/>
      <c r="IO543"/>
      <c r="IP543"/>
      <c r="IQ543"/>
      <c r="IR543"/>
      <c r="IS543"/>
      <c r="IT543"/>
      <c r="IU543"/>
      <c r="IV543"/>
      <c r="IW543"/>
      <c r="IX543"/>
      <c r="IY543"/>
      <c r="IZ543"/>
      <c r="JA543"/>
      <c r="JB543"/>
      <c r="JC543"/>
      <c r="JD543"/>
      <c r="JE543"/>
      <c r="JF543"/>
      <c r="JG543"/>
      <c r="JH543"/>
      <c r="JI543"/>
      <c r="JJ543"/>
      <c r="JK543"/>
      <c r="JL543"/>
      <c r="JM543"/>
      <c r="JN543"/>
      <c r="JO543"/>
      <c r="JP543"/>
      <c r="JQ543"/>
      <c r="JR543"/>
      <c r="JS543"/>
      <c r="JT543"/>
      <c r="JU543"/>
      <c r="JV543"/>
      <c r="JW543"/>
      <c r="JX543"/>
      <c r="JY543"/>
      <c r="JZ543"/>
      <c r="KA543"/>
      <c r="KB543"/>
      <c r="KC543"/>
      <c r="KD543"/>
      <c r="KE543"/>
      <c r="KF543"/>
      <c r="KG543"/>
      <c r="KH543"/>
      <c r="KI543"/>
      <c r="KJ543"/>
      <c r="KK543"/>
      <c r="KL543"/>
      <c r="KM543"/>
      <c r="KN543"/>
      <c r="KO543"/>
      <c r="KP543"/>
      <c r="KQ543"/>
      <c r="KR543"/>
      <c r="KS543"/>
    </row>
    <row r="544" spans="2:305" hidden="1" x14ac:dyDescent="0.25">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M544"/>
      <c r="CN544"/>
      <c r="CO544"/>
      <c r="CP544"/>
      <c r="CQ544"/>
      <c r="CR544"/>
      <c r="CS544"/>
      <c r="CT544"/>
      <c r="CU544"/>
      <c r="CV544"/>
      <c r="CW544"/>
      <c r="CX544"/>
      <c r="CY544"/>
      <c r="CZ544"/>
      <c r="DA544"/>
      <c r="DB544"/>
      <c r="DC544"/>
      <c r="DD544"/>
      <c r="DE544"/>
      <c r="DF544"/>
      <c r="DG544"/>
      <c r="DH544"/>
      <c r="DI544"/>
      <c r="DJ544"/>
      <c r="DK544"/>
      <c r="DL544"/>
      <c r="DM544"/>
      <c r="DN544"/>
      <c r="DO544"/>
      <c r="DP544"/>
      <c r="DQ544"/>
      <c r="DR544"/>
      <c r="DS544"/>
      <c r="DT544"/>
      <c r="DU544"/>
      <c r="DV544"/>
      <c r="DW544"/>
      <c r="DX544"/>
      <c r="DY544"/>
      <c r="DZ544"/>
      <c r="EA544"/>
      <c r="EB544"/>
      <c r="EC544"/>
      <c r="ED544"/>
      <c r="EE544"/>
      <c r="EF544"/>
      <c r="EG544"/>
      <c r="EH544"/>
      <c r="EI544"/>
      <c r="EJ544"/>
      <c r="EK544"/>
      <c r="EL544"/>
      <c r="EM544"/>
      <c r="EN544"/>
      <c r="EO544"/>
      <c r="EP544"/>
      <c r="EQ544"/>
      <c r="ER544"/>
      <c r="ES544"/>
      <c r="ET544"/>
      <c r="EU544"/>
      <c r="EV544"/>
      <c r="EW544"/>
      <c r="EX544"/>
      <c r="EY544"/>
      <c r="EZ544"/>
      <c r="FA544"/>
      <c r="FB544"/>
      <c r="FC544"/>
      <c r="FD544"/>
      <c r="FE544"/>
      <c r="FF544"/>
      <c r="FG544"/>
      <c r="FH544"/>
      <c r="FI544"/>
      <c r="FJ544"/>
      <c r="FK544"/>
      <c r="FL544"/>
      <c r="FM544"/>
      <c r="FN544"/>
      <c r="FO544"/>
      <c r="FP544"/>
      <c r="FQ544"/>
      <c r="FR544"/>
      <c r="FS544"/>
      <c r="FT544"/>
      <c r="FU544"/>
      <c r="FV544"/>
      <c r="FW544"/>
      <c r="FX544"/>
      <c r="FY544"/>
      <c r="FZ544"/>
      <c r="GA544"/>
      <c r="GB544"/>
      <c r="GC544"/>
      <c r="GD544"/>
      <c r="GE544"/>
      <c r="GF544"/>
      <c r="GG544"/>
      <c r="GH544"/>
      <c r="GI544"/>
      <c r="GJ544"/>
      <c r="GK544"/>
      <c r="GL544"/>
      <c r="GM544"/>
      <c r="GN544"/>
      <c r="GO544"/>
      <c r="GP544"/>
      <c r="GQ544"/>
      <c r="GR544"/>
      <c r="GS544"/>
      <c r="GT544"/>
      <c r="GU544"/>
      <c r="GV544"/>
      <c r="GW544"/>
      <c r="GX544"/>
      <c r="GY544"/>
      <c r="GZ544"/>
      <c r="HA544"/>
      <c r="HB544"/>
      <c r="HC544"/>
      <c r="HD544"/>
      <c r="HE544"/>
      <c r="HF544"/>
      <c r="HG544"/>
      <c r="HH544"/>
      <c r="HI544"/>
      <c r="HJ544"/>
      <c r="HK544"/>
      <c r="HL544"/>
      <c r="HM544"/>
      <c r="HN544"/>
      <c r="HO544"/>
      <c r="HP544"/>
      <c r="HQ544"/>
      <c r="HR544"/>
      <c r="HS544"/>
      <c r="HT544"/>
      <c r="HU544"/>
      <c r="HV544"/>
      <c r="HW544"/>
      <c r="HX544"/>
      <c r="HY544"/>
      <c r="HZ544"/>
      <c r="IA544"/>
      <c r="IB544"/>
      <c r="IC544"/>
      <c r="ID544"/>
      <c r="IE544"/>
      <c r="IF544"/>
      <c r="IG544"/>
      <c r="IH544"/>
      <c r="II544"/>
      <c r="IJ544"/>
      <c r="IK544"/>
      <c r="IL544"/>
      <c r="IM544"/>
      <c r="IN544"/>
      <c r="IO544"/>
      <c r="IP544"/>
      <c r="IQ544"/>
      <c r="IR544"/>
      <c r="IS544"/>
      <c r="IT544"/>
      <c r="IU544"/>
      <c r="IV544"/>
      <c r="IW544"/>
      <c r="IX544"/>
      <c r="IY544"/>
      <c r="IZ544"/>
      <c r="JA544"/>
      <c r="JB544"/>
      <c r="JC544"/>
      <c r="JD544"/>
      <c r="JE544"/>
      <c r="JF544"/>
      <c r="JG544"/>
      <c r="JH544"/>
      <c r="JI544"/>
      <c r="JJ544"/>
      <c r="JK544"/>
      <c r="JL544"/>
      <c r="JM544"/>
      <c r="JN544"/>
      <c r="JO544"/>
      <c r="JP544"/>
      <c r="JQ544"/>
      <c r="JR544"/>
      <c r="JS544"/>
      <c r="JT544"/>
      <c r="JU544"/>
      <c r="JV544"/>
      <c r="JW544"/>
      <c r="JX544"/>
      <c r="JY544"/>
      <c r="JZ544"/>
      <c r="KA544"/>
      <c r="KB544"/>
      <c r="KC544"/>
      <c r="KD544"/>
      <c r="KE544"/>
      <c r="KF544"/>
      <c r="KG544"/>
      <c r="KH544"/>
      <c r="KI544"/>
      <c r="KJ544"/>
      <c r="KK544"/>
      <c r="KL544"/>
      <c r="KM544"/>
      <c r="KN544"/>
      <c r="KO544"/>
      <c r="KP544"/>
      <c r="KQ544"/>
      <c r="KR544"/>
      <c r="KS544"/>
    </row>
    <row r="545" spans="2:305" hidden="1" x14ac:dyDescent="0.2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M545"/>
      <c r="CN545"/>
      <c r="CO545"/>
      <c r="CP545"/>
      <c r="CQ545"/>
      <c r="CR545"/>
      <c r="CS545"/>
      <c r="CT545"/>
      <c r="CU545"/>
      <c r="CV545"/>
      <c r="CW545"/>
      <c r="CX545"/>
      <c r="CY545"/>
      <c r="CZ545"/>
      <c r="DA545"/>
      <c r="DB545"/>
      <c r="DC545"/>
      <c r="DD545"/>
      <c r="DE545"/>
      <c r="DF545"/>
      <c r="DG545"/>
      <c r="DH545"/>
      <c r="DI545"/>
      <c r="DJ545"/>
      <c r="DK545"/>
      <c r="DL545"/>
      <c r="DM545"/>
      <c r="DN545"/>
      <c r="DO545"/>
      <c r="DP545"/>
      <c r="DQ545"/>
      <c r="DR545"/>
      <c r="DS545"/>
      <c r="DT545"/>
      <c r="DU545"/>
      <c r="DV545"/>
      <c r="DW545"/>
      <c r="DX545"/>
      <c r="DY545"/>
      <c r="DZ545"/>
      <c r="EA545"/>
      <c r="EB545"/>
      <c r="EC545"/>
      <c r="ED545"/>
      <c r="EE545"/>
      <c r="EF545"/>
      <c r="EG545"/>
      <c r="EH545"/>
      <c r="EI545"/>
      <c r="EJ545"/>
      <c r="EK545"/>
      <c r="EL545"/>
      <c r="EM545"/>
      <c r="EN545"/>
      <c r="EO545"/>
      <c r="EP545"/>
      <c r="EQ545"/>
      <c r="ER545"/>
      <c r="ES545"/>
      <c r="ET545"/>
      <c r="EU545"/>
      <c r="EV545"/>
      <c r="EW545"/>
      <c r="EX545"/>
      <c r="EY545"/>
      <c r="EZ545"/>
      <c r="FA545"/>
      <c r="FB545"/>
      <c r="FC545"/>
      <c r="FD545"/>
      <c r="FE545"/>
      <c r="FF545"/>
      <c r="FG545"/>
      <c r="FH545"/>
      <c r="FI545"/>
      <c r="FJ545"/>
      <c r="FK545"/>
      <c r="FL545"/>
      <c r="FM545"/>
      <c r="FN545"/>
      <c r="FO545"/>
      <c r="FP545"/>
      <c r="FQ545"/>
      <c r="FR545"/>
      <c r="FS545"/>
      <c r="FT545"/>
      <c r="FU545"/>
      <c r="FV545"/>
      <c r="FW545"/>
      <c r="FX545"/>
      <c r="FY545"/>
      <c r="FZ545"/>
      <c r="GA545"/>
      <c r="GB545"/>
      <c r="GC545"/>
      <c r="GD545"/>
      <c r="GE545"/>
      <c r="GF545"/>
      <c r="GG545"/>
      <c r="GH545"/>
      <c r="GI545"/>
      <c r="GJ545"/>
      <c r="GK545"/>
      <c r="GL545"/>
      <c r="GM545"/>
      <c r="GN545"/>
      <c r="GO545"/>
      <c r="GP545"/>
      <c r="GQ545"/>
      <c r="GR545"/>
      <c r="GS545"/>
      <c r="GT545"/>
      <c r="GU545"/>
      <c r="GV545"/>
      <c r="GW545"/>
      <c r="GX545"/>
      <c r="GY545"/>
      <c r="GZ545"/>
      <c r="HA545"/>
      <c r="HB545"/>
      <c r="HC545"/>
      <c r="HD545"/>
      <c r="HE545"/>
      <c r="HF545"/>
      <c r="HG545"/>
      <c r="HH545"/>
      <c r="HI545"/>
      <c r="HJ545"/>
      <c r="HK545"/>
      <c r="HL545"/>
      <c r="HM545"/>
      <c r="HN545"/>
      <c r="HO545"/>
      <c r="HP545"/>
      <c r="HQ545"/>
      <c r="HR545"/>
      <c r="HS545"/>
      <c r="HT545"/>
      <c r="HU545"/>
      <c r="HV545"/>
      <c r="HW545"/>
      <c r="HX545"/>
      <c r="HY545"/>
      <c r="HZ545"/>
      <c r="IA545"/>
      <c r="IB545"/>
      <c r="IC545"/>
      <c r="ID545"/>
      <c r="IE545"/>
      <c r="IF545"/>
      <c r="IG545"/>
      <c r="IH545"/>
      <c r="II545"/>
      <c r="IJ545"/>
      <c r="IK545"/>
      <c r="IL545"/>
      <c r="IM545"/>
      <c r="IN545"/>
      <c r="IO545"/>
      <c r="IP545"/>
      <c r="IQ545"/>
      <c r="IR545"/>
      <c r="IS545"/>
      <c r="IT545"/>
      <c r="IU545"/>
      <c r="IV545"/>
      <c r="IW545"/>
      <c r="IX545"/>
      <c r="IY545"/>
      <c r="IZ545"/>
      <c r="JA545"/>
      <c r="JB545"/>
      <c r="JC545"/>
      <c r="JD545"/>
      <c r="JE545"/>
      <c r="JF545"/>
      <c r="JG545"/>
      <c r="JH545"/>
      <c r="JI545"/>
      <c r="JJ545"/>
      <c r="JK545"/>
      <c r="JL545"/>
      <c r="JM545"/>
      <c r="JN545"/>
      <c r="JO545"/>
      <c r="JP545"/>
      <c r="JQ545"/>
      <c r="JR545"/>
      <c r="JS545"/>
      <c r="JT545"/>
      <c r="JU545"/>
      <c r="JV545"/>
      <c r="JW545"/>
      <c r="JX545"/>
      <c r="JY545"/>
      <c r="JZ545"/>
      <c r="KA545"/>
      <c r="KB545"/>
      <c r="KC545"/>
      <c r="KD545"/>
      <c r="KE545"/>
      <c r="KF545"/>
      <c r="KG545"/>
      <c r="KH545"/>
      <c r="KI545"/>
      <c r="KJ545"/>
      <c r="KK545"/>
      <c r="KL545"/>
      <c r="KM545"/>
      <c r="KN545"/>
      <c r="KO545"/>
      <c r="KP545"/>
      <c r="KQ545"/>
      <c r="KR545"/>
      <c r="KS545"/>
    </row>
    <row r="546" spans="2:305" hidden="1" x14ac:dyDescent="0.25">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M546"/>
      <c r="CN546"/>
      <c r="CO546"/>
      <c r="CP546"/>
      <c r="CQ546"/>
      <c r="CR546"/>
      <c r="CS546"/>
      <c r="CT546"/>
      <c r="CU546"/>
      <c r="CV546"/>
      <c r="CW546"/>
      <c r="CX546"/>
      <c r="CY546"/>
      <c r="CZ546"/>
      <c r="DA546"/>
      <c r="DB546"/>
      <c r="DC546"/>
      <c r="DD546"/>
      <c r="DE546"/>
      <c r="DF546"/>
      <c r="DG546"/>
      <c r="DH546"/>
      <c r="DI546"/>
      <c r="DJ546"/>
      <c r="DK546"/>
      <c r="DL546"/>
      <c r="DM546"/>
      <c r="DN546"/>
      <c r="DO546"/>
      <c r="DP546"/>
      <c r="DQ546"/>
      <c r="DR546"/>
      <c r="DS546"/>
      <c r="DT546"/>
      <c r="DU546"/>
      <c r="DV546"/>
      <c r="DW546"/>
      <c r="DX546"/>
      <c r="DY546"/>
      <c r="DZ546"/>
      <c r="EA546"/>
      <c r="EB546"/>
      <c r="EC546"/>
      <c r="ED546"/>
      <c r="EE546"/>
      <c r="EF546"/>
      <c r="EG546"/>
      <c r="EH546"/>
      <c r="EI546"/>
      <c r="EJ546"/>
      <c r="EK546"/>
      <c r="EL546"/>
      <c r="EM546"/>
      <c r="EN546"/>
      <c r="EO546"/>
      <c r="EP546"/>
      <c r="EQ546"/>
      <c r="ER546"/>
      <c r="ES546"/>
      <c r="ET546"/>
      <c r="EU546"/>
      <c r="EV546"/>
      <c r="EW546"/>
      <c r="EX546"/>
      <c r="EY546"/>
      <c r="EZ546"/>
      <c r="FA546"/>
      <c r="FB546"/>
      <c r="FC546"/>
      <c r="FD546"/>
      <c r="FE546"/>
      <c r="FF546"/>
      <c r="FG546"/>
      <c r="FH546"/>
      <c r="FI546"/>
      <c r="FJ546"/>
      <c r="FK546"/>
      <c r="FL546"/>
      <c r="FM546"/>
      <c r="FN546"/>
      <c r="FO546"/>
      <c r="FP546"/>
      <c r="FQ546"/>
      <c r="FR546"/>
      <c r="FS546"/>
      <c r="FT546"/>
      <c r="FU546"/>
      <c r="FV546"/>
      <c r="FW546"/>
      <c r="FX546"/>
      <c r="FY546"/>
      <c r="FZ546"/>
      <c r="GA546"/>
      <c r="GB546"/>
      <c r="GC546"/>
      <c r="GD546"/>
      <c r="GE546"/>
      <c r="GF546"/>
      <c r="GG546"/>
      <c r="GH546"/>
      <c r="GI546"/>
      <c r="GJ546"/>
      <c r="GK546"/>
      <c r="GL546"/>
      <c r="GM546"/>
      <c r="GN546"/>
      <c r="GO546"/>
      <c r="GP546"/>
      <c r="GQ546"/>
      <c r="GR546"/>
      <c r="GS546"/>
      <c r="GT546"/>
      <c r="GU546"/>
      <c r="GV546"/>
      <c r="GW546"/>
      <c r="GX546"/>
      <c r="GY546"/>
      <c r="GZ546"/>
      <c r="HA546"/>
      <c r="HB546"/>
      <c r="HC546"/>
      <c r="HD546"/>
      <c r="HE546"/>
      <c r="HF546"/>
      <c r="HG546"/>
      <c r="HH546"/>
      <c r="HI546"/>
      <c r="HJ546"/>
      <c r="HK546"/>
      <c r="HL546"/>
      <c r="HM546"/>
      <c r="HN546"/>
      <c r="HO546"/>
      <c r="HP546"/>
      <c r="HQ546"/>
      <c r="HR546"/>
      <c r="HS546"/>
      <c r="HT546"/>
      <c r="HU546"/>
      <c r="HV546"/>
      <c r="HW546"/>
      <c r="HX546"/>
      <c r="HY546"/>
      <c r="HZ546"/>
      <c r="IA546"/>
      <c r="IB546"/>
      <c r="IC546"/>
      <c r="ID546"/>
      <c r="IE546"/>
      <c r="IF546"/>
      <c r="IG546"/>
      <c r="IH546"/>
      <c r="II546"/>
      <c r="IJ546"/>
      <c r="IK546"/>
      <c r="IL546"/>
      <c r="IM546"/>
      <c r="IN546"/>
      <c r="IO546"/>
      <c r="IP546"/>
      <c r="IQ546"/>
      <c r="IR546"/>
      <c r="IS546"/>
      <c r="IT546"/>
      <c r="IU546"/>
      <c r="IV546"/>
      <c r="IW546"/>
      <c r="IX546"/>
      <c r="IY546"/>
      <c r="IZ546"/>
      <c r="JA546"/>
      <c r="JB546"/>
      <c r="JC546"/>
      <c r="JD546"/>
      <c r="JE546"/>
      <c r="JF546"/>
      <c r="JG546"/>
      <c r="JH546"/>
      <c r="JI546"/>
      <c r="JJ546"/>
      <c r="JK546"/>
      <c r="JL546"/>
      <c r="JM546"/>
      <c r="JN546"/>
      <c r="JO546"/>
      <c r="JP546"/>
      <c r="JQ546"/>
      <c r="JR546"/>
      <c r="JS546"/>
      <c r="JT546"/>
      <c r="JU546"/>
      <c r="JV546"/>
      <c r="JW546"/>
      <c r="JX546"/>
      <c r="JY546"/>
      <c r="JZ546"/>
      <c r="KA546"/>
      <c r="KB546"/>
      <c r="KC546"/>
      <c r="KD546"/>
      <c r="KE546"/>
      <c r="KF546"/>
      <c r="KG546"/>
      <c r="KH546"/>
      <c r="KI546"/>
      <c r="KJ546"/>
      <c r="KK546"/>
      <c r="KL546"/>
      <c r="KM546"/>
      <c r="KN546"/>
      <c r="KO546"/>
      <c r="KP546"/>
      <c r="KQ546"/>
      <c r="KR546"/>
      <c r="KS546"/>
    </row>
    <row r="547" spans="2:305" hidden="1" x14ac:dyDescent="0.25">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M547"/>
      <c r="CN547"/>
      <c r="CO547"/>
      <c r="CP547"/>
      <c r="CQ547"/>
      <c r="CR547"/>
      <c r="CS547"/>
      <c r="CT547"/>
      <c r="CU547"/>
      <c r="CV547"/>
      <c r="CW547"/>
      <c r="CX547"/>
      <c r="CY547"/>
      <c r="CZ547"/>
      <c r="DA547"/>
      <c r="DB547"/>
      <c r="DC547"/>
      <c r="DD547"/>
      <c r="DE547"/>
      <c r="DF547"/>
      <c r="DG547"/>
      <c r="DH547"/>
      <c r="DI547"/>
      <c r="DJ547"/>
      <c r="DK547"/>
      <c r="DL547"/>
      <c r="DM547"/>
      <c r="DN547"/>
      <c r="DO547"/>
      <c r="DP547"/>
      <c r="DQ547"/>
      <c r="DR547"/>
      <c r="DS547"/>
      <c r="DT547"/>
      <c r="DU547"/>
      <c r="DV547"/>
      <c r="DW547"/>
      <c r="DX547"/>
      <c r="DY547"/>
      <c r="DZ547"/>
      <c r="EA547"/>
      <c r="EB547"/>
      <c r="EC547"/>
      <c r="ED547"/>
      <c r="EE547"/>
      <c r="EF547"/>
      <c r="EG547"/>
      <c r="EH547"/>
      <c r="EI547"/>
      <c r="EJ547"/>
      <c r="EK547"/>
      <c r="EL547"/>
      <c r="EM547"/>
      <c r="EN547"/>
      <c r="EO547"/>
      <c r="EP547"/>
      <c r="EQ547"/>
      <c r="ER547"/>
      <c r="ES547"/>
      <c r="ET547"/>
      <c r="EU547"/>
      <c r="EV547"/>
      <c r="EW547"/>
      <c r="EX547"/>
      <c r="EY547"/>
      <c r="EZ547"/>
      <c r="FA547"/>
      <c r="FB547"/>
      <c r="FC547"/>
      <c r="FD547"/>
      <c r="FE547"/>
      <c r="FF547"/>
      <c r="FG547"/>
      <c r="FH547"/>
      <c r="FI547"/>
      <c r="FJ547"/>
      <c r="FK547"/>
      <c r="FL547"/>
      <c r="FM547"/>
      <c r="FN547"/>
      <c r="FO547"/>
      <c r="FP547"/>
      <c r="FQ547"/>
      <c r="FR547"/>
      <c r="FS547"/>
      <c r="FT547"/>
      <c r="FU547"/>
      <c r="FV547"/>
      <c r="FW547"/>
      <c r="FX547"/>
      <c r="FY547"/>
      <c r="FZ547"/>
      <c r="GA547"/>
      <c r="GB547"/>
      <c r="GC547"/>
      <c r="GD547"/>
      <c r="GE547"/>
      <c r="GF547"/>
      <c r="GG547"/>
      <c r="GH547"/>
      <c r="GI547"/>
      <c r="GJ547"/>
      <c r="GK547"/>
      <c r="GL547"/>
      <c r="GM547"/>
      <c r="GN547"/>
      <c r="GO547"/>
      <c r="GP547"/>
      <c r="GQ547"/>
      <c r="GR547"/>
      <c r="GS547"/>
      <c r="GT547"/>
      <c r="GU547"/>
      <c r="GV547"/>
      <c r="GW547"/>
      <c r="GX547"/>
      <c r="GY547"/>
      <c r="GZ547"/>
      <c r="HA547"/>
      <c r="HB547"/>
      <c r="HC547"/>
      <c r="HD547"/>
      <c r="HE547"/>
      <c r="HF547"/>
      <c r="HG547"/>
      <c r="HH547"/>
      <c r="HI547"/>
      <c r="HJ547"/>
      <c r="HK547"/>
      <c r="HL547"/>
      <c r="HM547"/>
      <c r="HN547"/>
      <c r="HO547"/>
      <c r="HP547"/>
      <c r="HQ547"/>
      <c r="HR547"/>
      <c r="HS547"/>
      <c r="HT547"/>
      <c r="HU547"/>
      <c r="HV547"/>
      <c r="HW547"/>
      <c r="HX547"/>
      <c r="HY547"/>
      <c r="HZ547"/>
      <c r="IA547"/>
      <c r="IB547"/>
      <c r="IC547"/>
      <c r="ID547"/>
      <c r="IE547"/>
      <c r="IF547"/>
      <c r="IG547"/>
      <c r="IH547"/>
      <c r="II547"/>
      <c r="IJ547"/>
      <c r="IK547"/>
      <c r="IL547"/>
      <c r="IM547"/>
      <c r="IN547"/>
      <c r="IO547"/>
      <c r="IP547"/>
      <c r="IQ547"/>
      <c r="IR547"/>
      <c r="IS547"/>
      <c r="IT547"/>
      <c r="IU547"/>
      <c r="IV547"/>
      <c r="IW547"/>
      <c r="IX547"/>
      <c r="IY547"/>
      <c r="IZ547"/>
      <c r="JA547"/>
      <c r="JB547"/>
      <c r="JC547"/>
      <c r="JD547"/>
      <c r="JE547"/>
      <c r="JF547"/>
      <c r="JG547"/>
      <c r="JH547"/>
      <c r="JI547"/>
      <c r="JJ547"/>
      <c r="JK547"/>
      <c r="JL547"/>
      <c r="JM547"/>
      <c r="JN547"/>
      <c r="JO547"/>
      <c r="JP547"/>
      <c r="JQ547"/>
      <c r="JR547"/>
      <c r="JS547"/>
      <c r="JT547"/>
      <c r="JU547"/>
      <c r="JV547"/>
      <c r="JW547"/>
      <c r="JX547"/>
      <c r="JY547"/>
      <c r="JZ547"/>
      <c r="KA547"/>
      <c r="KB547"/>
      <c r="KC547"/>
      <c r="KD547"/>
      <c r="KE547"/>
      <c r="KF547"/>
      <c r="KG547"/>
      <c r="KH547"/>
      <c r="KI547"/>
      <c r="KJ547"/>
      <c r="KK547"/>
      <c r="KL547"/>
      <c r="KM547"/>
      <c r="KN547"/>
      <c r="KO547"/>
      <c r="KP547"/>
      <c r="KQ547"/>
      <c r="KR547"/>
      <c r="KS547"/>
    </row>
    <row r="548" spans="2:305" hidden="1" x14ac:dyDescent="0.25">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M548"/>
      <c r="CN548"/>
      <c r="CO548"/>
      <c r="CP548"/>
      <c r="CQ548"/>
      <c r="CR548"/>
      <c r="CS548"/>
      <c r="CT548"/>
      <c r="CU548"/>
      <c r="CV548"/>
      <c r="CW548"/>
      <c r="CX548"/>
      <c r="CY548"/>
      <c r="CZ548"/>
      <c r="DA548"/>
      <c r="DB548"/>
      <c r="DC548"/>
      <c r="DD548"/>
      <c r="DE548"/>
      <c r="DF548"/>
      <c r="DG548"/>
      <c r="DH548"/>
      <c r="DI548"/>
      <c r="DJ548"/>
      <c r="DK548"/>
      <c r="DL548"/>
      <c r="DM548"/>
      <c r="DN548"/>
      <c r="DO548"/>
      <c r="DP548"/>
      <c r="DQ548"/>
      <c r="DR548"/>
      <c r="DS548"/>
      <c r="DT548"/>
      <c r="DU548"/>
      <c r="DV548"/>
      <c r="DW548"/>
      <c r="DX548"/>
      <c r="DY548"/>
      <c r="DZ548"/>
      <c r="EA548"/>
      <c r="EB548"/>
      <c r="EC548"/>
      <c r="ED548"/>
      <c r="EE548"/>
      <c r="EF548"/>
      <c r="EG548"/>
      <c r="EH548"/>
      <c r="EI548"/>
      <c r="EJ548"/>
      <c r="EK548"/>
      <c r="EL548"/>
      <c r="EM548"/>
      <c r="EN548"/>
      <c r="EO548"/>
      <c r="EP548"/>
      <c r="EQ548"/>
      <c r="ER548"/>
      <c r="ES548"/>
      <c r="ET548"/>
      <c r="EU548"/>
      <c r="EV548"/>
      <c r="EW548"/>
      <c r="EX548"/>
      <c r="EY548"/>
      <c r="EZ548"/>
      <c r="FA548"/>
      <c r="FB548"/>
      <c r="FC548"/>
      <c r="FD548"/>
      <c r="FE548"/>
      <c r="FF548"/>
      <c r="FG548"/>
      <c r="FH548"/>
      <c r="FI548"/>
      <c r="FJ548"/>
      <c r="FK548"/>
      <c r="FL548"/>
      <c r="FM548"/>
      <c r="FN548"/>
      <c r="FO548"/>
      <c r="FP548"/>
      <c r="FQ548"/>
      <c r="FR548"/>
      <c r="FS548"/>
      <c r="FT548"/>
      <c r="FU548"/>
      <c r="FV548"/>
      <c r="FW548"/>
      <c r="FX548"/>
      <c r="FY548"/>
      <c r="FZ548"/>
      <c r="GA548"/>
      <c r="GB548"/>
      <c r="GC548"/>
      <c r="GD548"/>
      <c r="GE548"/>
      <c r="GF548"/>
      <c r="GG548"/>
      <c r="GH548"/>
      <c r="GI548"/>
      <c r="GJ548"/>
      <c r="GK548"/>
      <c r="GL548"/>
      <c r="GM548"/>
      <c r="GN548"/>
      <c r="GO548"/>
      <c r="GP548"/>
      <c r="GQ548"/>
      <c r="GR548"/>
      <c r="GS548"/>
      <c r="GT548"/>
      <c r="GU548"/>
      <c r="GV548"/>
      <c r="GW548"/>
      <c r="GX548"/>
      <c r="GY548"/>
      <c r="GZ548"/>
      <c r="HA548"/>
      <c r="HB548"/>
      <c r="HC548"/>
      <c r="HD548"/>
      <c r="HE548"/>
      <c r="HF548"/>
      <c r="HG548"/>
      <c r="HH548"/>
      <c r="HI548"/>
      <c r="HJ548"/>
      <c r="HK548"/>
      <c r="HL548"/>
      <c r="HM548"/>
      <c r="HN548"/>
      <c r="HO548"/>
      <c r="HP548"/>
      <c r="HQ548"/>
      <c r="HR548"/>
      <c r="HS548"/>
      <c r="HT548"/>
      <c r="HU548"/>
      <c r="HV548"/>
      <c r="HW548"/>
      <c r="HX548"/>
      <c r="HY548"/>
      <c r="HZ548"/>
      <c r="IA548"/>
      <c r="IB548"/>
      <c r="IC548"/>
      <c r="ID548"/>
      <c r="IE548"/>
      <c r="IF548"/>
      <c r="IG548"/>
      <c r="IH548"/>
      <c r="II548"/>
      <c r="IJ548"/>
      <c r="IK548"/>
      <c r="IL548"/>
      <c r="IM548"/>
      <c r="IN548"/>
      <c r="IO548"/>
      <c r="IP548"/>
      <c r="IQ548"/>
      <c r="IR548"/>
      <c r="IS548"/>
      <c r="IT548"/>
      <c r="IU548"/>
      <c r="IV548"/>
      <c r="IW548"/>
      <c r="IX548"/>
      <c r="IY548"/>
      <c r="IZ548"/>
      <c r="JA548"/>
      <c r="JB548"/>
      <c r="JC548"/>
      <c r="JD548"/>
      <c r="JE548"/>
      <c r="JF548"/>
      <c r="JG548"/>
      <c r="JH548"/>
      <c r="JI548"/>
      <c r="JJ548"/>
      <c r="JK548"/>
      <c r="JL548"/>
      <c r="JM548"/>
      <c r="JN548"/>
      <c r="JO548"/>
      <c r="JP548"/>
      <c r="JQ548"/>
      <c r="JR548"/>
      <c r="JS548"/>
      <c r="JT548"/>
      <c r="JU548"/>
      <c r="JV548"/>
      <c r="JW548"/>
      <c r="JX548"/>
      <c r="JY548"/>
      <c r="JZ548"/>
      <c r="KA548"/>
      <c r="KB548"/>
      <c r="KC548"/>
      <c r="KD548"/>
      <c r="KE548"/>
      <c r="KF548"/>
      <c r="KG548"/>
      <c r="KH548"/>
      <c r="KI548"/>
      <c r="KJ548"/>
      <c r="KK548"/>
      <c r="KL548"/>
      <c r="KM548"/>
      <c r="KN548"/>
      <c r="KO548"/>
      <c r="KP548"/>
      <c r="KQ548"/>
      <c r="KR548"/>
      <c r="KS548"/>
    </row>
    <row r="549" spans="2:305" hidden="1" x14ac:dyDescent="0.25">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M549"/>
      <c r="CN549"/>
      <c r="CO549"/>
      <c r="CP549"/>
      <c r="CQ549"/>
      <c r="CR549"/>
      <c r="CS549"/>
      <c r="CT549"/>
      <c r="CU549"/>
      <c r="CV549"/>
      <c r="CW549"/>
      <c r="CX549"/>
      <c r="CY549"/>
      <c r="CZ549"/>
      <c r="DA549"/>
      <c r="DB549"/>
      <c r="DC549"/>
      <c r="DD549"/>
      <c r="DE549"/>
      <c r="DF549"/>
      <c r="DG549"/>
      <c r="DH549"/>
      <c r="DI549"/>
      <c r="DJ549"/>
      <c r="DK549"/>
      <c r="DL549"/>
      <c r="DM549"/>
      <c r="DN549"/>
      <c r="DO549"/>
      <c r="DP549"/>
      <c r="DQ549"/>
      <c r="DR549"/>
      <c r="DS549"/>
      <c r="DT549"/>
      <c r="DU549"/>
      <c r="DV549"/>
      <c r="DW549"/>
      <c r="DX549"/>
      <c r="DY549"/>
      <c r="DZ549"/>
      <c r="EA549"/>
      <c r="EB549"/>
      <c r="EC549"/>
      <c r="ED549"/>
      <c r="EE549"/>
      <c r="EF549"/>
      <c r="EG549"/>
      <c r="EH549"/>
      <c r="EI549"/>
      <c r="EJ549"/>
      <c r="EK549"/>
      <c r="EL549"/>
      <c r="EM549"/>
      <c r="EN549"/>
      <c r="EO549"/>
      <c r="EP549"/>
      <c r="EQ549"/>
      <c r="ER549"/>
      <c r="ES549"/>
      <c r="ET549"/>
      <c r="EU549"/>
      <c r="EV549"/>
      <c r="EW549"/>
      <c r="EX549"/>
      <c r="EY549"/>
      <c r="EZ549"/>
      <c r="FA549"/>
      <c r="FB549"/>
      <c r="FC549"/>
      <c r="FD549"/>
      <c r="FE549"/>
      <c r="FF549"/>
      <c r="FG549"/>
      <c r="FH549"/>
      <c r="FI549"/>
      <c r="FJ549"/>
      <c r="FK549"/>
      <c r="FL549"/>
      <c r="FM549"/>
      <c r="FN549"/>
      <c r="FO549"/>
      <c r="FP549"/>
      <c r="FQ549"/>
      <c r="FR549"/>
      <c r="FS549"/>
      <c r="FT549"/>
      <c r="FU549"/>
      <c r="FV549"/>
      <c r="FW549"/>
      <c r="FX549"/>
      <c r="FY549"/>
      <c r="FZ549"/>
      <c r="GA549"/>
      <c r="GB549"/>
      <c r="GC549"/>
      <c r="GD549"/>
      <c r="GE549"/>
      <c r="GF549"/>
      <c r="GG549"/>
      <c r="GH549"/>
      <c r="GI549"/>
      <c r="GJ549"/>
      <c r="GK549"/>
      <c r="GL549"/>
      <c r="GM549"/>
      <c r="GN549"/>
      <c r="GO549"/>
      <c r="GP549"/>
      <c r="GQ549"/>
      <c r="GR549"/>
      <c r="GS549"/>
      <c r="GT549"/>
      <c r="GU549"/>
      <c r="GV549"/>
      <c r="GW549"/>
      <c r="GX549"/>
      <c r="GY549"/>
      <c r="GZ549"/>
      <c r="HA549"/>
      <c r="HB549"/>
      <c r="HC549"/>
      <c r="HD549"/>
      <c r="HE549"/>
      <c r="HF549"/>
      <c r="HG549"/>
      <c r="HH549"/>
      <c r="HI549"/>
      <c r="HJ549"/>
      <c r="HK549"/>
      <c r="HL549"/>
      <c r="HM549"/>
      <c r="HN549"/>
      <c r="HO549"/>
      <c r="HP549"/>
      <c r="HQ549"/>
      <c r="HR549"/>
      <c r="HS549"/>
      <c r="HT549"/>
      <c r="HU549"/>
      <c r="HV549"/>
      <c r="HW549"/>
      <c r="HX549"/>
      <c r="HY549"/>
      <c r="HZ549"/>
      <c r="IA549"/>
      <c r="IB549"/>
      <c r="IC549"/>
      <c r="ID549"/>
      <c r="IE549"/>
      <c r="IF549"/>
      <c r="IG549"/>
      <c r="IH549"/>
      <c r="II549"/>
      <c r="IJ549"/>
      <c r="IK549"/>
      <c r="IL549"/>
      <c r="IM549"/>
      <c r="IN549"/>
      <c r="IO549"/>
      <c r="IP549"/>
      <c r="IQ549"/>
      <c r="IR549"/>
      <c r="IS549"/>
      <c r="IT549"/>
      <c r="IU549"/>
      <c r="IV549"/>
      <c r="IW549"/>
      <c r="IX549"/>
      <c r="IY549"/>
      <c r="IZ549"/>
      <c r="JA549"/>
      <c r="JB549"/>
      <c r="JC549"/>
      <c r="JD549"/>
      <c r="JE549"/>
      <c r="JF549"/>
      <c r="JG549"/>
      <c r="JH549"/>
      <c r="JI549"/>
      <c r="JJ549"/>
      <c r="JK549"/>
      <c r="JL549"/>
      <c r="JM549"/>
      <c r="JN549"/>
      <c r="JO549"/>
      <c r="JP549"/>
      <c r="JQ549"/>
      <c r="JR549"/>
      <c r="JS549"/>
      <c r="JT549"/>
      <c r="JU549"/>
      <c r="JV549"/>
      <c r="JW549"/>
      <c r="JX549"/>
      <c r="JY549"/>
      <c r="JZ549"/>
      <c r="KA549"/>
      <c r="KB549"/>
      <c r="KC549"/>
      <c r="KD549"/>
      <c r="KE549"/>
      <c r="KF549"/>
      <c r="KG549"/>
      <c r="KH549"/>
      <c r="KI549"/>
      <c r="KJ549"/>
      <c r="KK549"/>
      <c r="KL549"/>
      <c r="KM549"/>
      <c r="KN549"/>
      <c r="KO549"/>
      <c r="KP549"/>
      <c r="KQ549"/>
      <c r="KR549"/>
      <c r="KS549"/>
    </row>
    <row r="550" spans="2:305" hidden="1" x14ac:dyDescent="0.25">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M550"/>
      <c r="CN550"/>
      <c r="CO550"/>
      <c r="CP550"/>
      <c r="CQ550"/>
      <c r="CR550"/>
      <c r="CS550"/>
      <c r="CT550"/>
      <c r="CU550"/>
      <c r="CV550"/>
      <c r="CW550"/>
      <c r="CX550"/>
      <c r="CY550"/>
      <c r="CZ550"/>
      <c r="DA550"/>
      <c r="DB550"/>
      <c r="DC550"/>
      <c r="DD550"/>
      <c r="DE550"/>
      <c r="DF550"/>
      <c r="DG550"/>
      <c r="DH550"/>
      <c r="DI550"/>
      <c r="DJ550"/>
      <c r="DK550"/>
      <c r="DL550"/>
      <c r="DM550"/>
      <c r="DN550"/>
      <c r="DO550"/>
      <c r="DP550"/>
      <c r="DQ550"/>
      <c r="DR550"/>
      <c r="DS550"/>
      <c r="DT550"/>
      <c r="DU550"/>
      <c r="DV550"/>
      <c r="DW550"/>
      <c r="DX550"/>
      <c r="DY550"/>
      <c r="DZ550"/>
      <c r="EA550"/>
      <c r="EB550"/>
      <c r="EC550"/>
      <c r="ED550"/>
      <c r="EE550"/>
      <c r="EF550"/>
      <c r="EG550"/>
      <c r="EH550"/>
      <c r="EI550"/>
      <c r="EJ550"/>
      <c r="EK550"/>
      <c r="EL550"/>
      <c r="EM550"/>
      <c r="EN550"/>
      <c r="EO550"/>
      <c r="EP550"/>
      <c r="EQ550"/>
      <c r="ER550"/>
      <c r="ES550"/>
      <c r="ET550"/>
      <c r="EU550"/>
      <c r="EV550"/>
      <c r="EW550"/>
      <c r="EX550"/>
      <c r="EY550"/>
      <c r="EZ550"/>
      <c r="FA550"/>
      <c r="FB550"/>
      <c r="FC550"/>
      <c r="FD550"/>
      <c r="FE550"/>
      <c r="FF550"/>
      <c r="FG550"/>
      <c r="FH550"/>
      <c r="FI550"/>
      <c r="FJ550"/>
      <c r="FK550"/>
      <c r="FL550"/>
      <c r="FM550"/>
      <c r="FN550"/>
      <c r="FO550"/>
      <c r="FP550"/>
      <c r="FQ550"/>
      <c r="FR550"/>
      <c r="FS550"/>
      <c r="FT550"/>
      <c r="FU550"/>
      <c r="FV550"/>
      <c r="FW550"/>
      <c r="FX550"/>
      <c r="FY550"/>
      <c r="FZ550"/>
      <c r="GA550"/>
      <c r="GB550"/>
      <c r="GC550"/>
      <c r="GD550"/>
      <c r="GE550"/>
      <c r="GF550"/>
      <c r="GG550"/>
      <c r="GH550"/>
      <c r="GI550"/>
      <c r="GJ550"/>
      <c r="GK550"/>
      <c r="GL550"/>
      <c r="GM550"/>
      <c r="GN550"/>
      <c r="GO550"/>
      <c r="GP550"/>
      <c r="GQ550"/>
      <c r="GR550"/>
      <c r="GS550"/>
      <c r="GT550"/>
      <c r="GU550"/>
      <c r="GV550"/>
      <c r="GW550"/>
      <c r="GX550"/>
      <c r="GY550"/>
      <c r="GZ550"/>
      <c r="HA550"/>
      <c r="HB550"/>
      <c r="HC550"/>
      <c r="HD550"/>
      <c r="HE550"/>
      <c r="HF550"/>
      <c r="HG550"/>
      <c r="HH550"/>
      <c r="HI550"/>
      <c r="HJ550"/>
      <c r="HK550"/>
      <c r="HL550"/>
      <c r="HM550"/>
      <c r="HN550"/>
      <c r="HO550"/>
      <c r="HP550"/>
      <c r="HQ550"/>
      <c r="HR550"/>
      <c r="HS550"/>
      <c r="HT550"/>
      <c r="HU550"/>
      <c r="HV550"/>
      <c r="HW550"/>
      <c r="HX550"/>
      <c r="HY550"/>
      <c r="HZ550"/>
      <c r="IA550"/>
      <c r="IB550"/>
      <c r="IC550"/>
      <c r="ID550"/>
      <c r="IE550"/>
      <c r="IF550"/>
      <c r="IG550"/>
      <c r="IH550"/>
      <c r="II550"/>
      <c r="IJ550"/>
      <c r="IK550"/>
      <c r="IL550"/>
      <c r="IM550"/>
      <c r="IN550"/>
      <c r="IO550"/>
      <c r="IP550"/>
      <c r="IQ550"/>
      <c r="IR550"/>
      <c r="IS550"/>
      <c r="IT550"/>
      <c r="IU550"/>
      <c r="IV550"/>
      <c r="IW550"/>
      <c r="IX550"/>
      <c r="IY550"/>
      <c r="IZ550"/>
      <c r="JA550"/>
      <c r="JB550"/>
      <c r="JC550"/>
      <c r="JD550"/>
      <c r="JE550"/>
      <c r="JF550"/>
      <c r="JG550"/>
      <c r="JH550"/>
      <c r="JI550"/>
      <c r="JJ550"/>
      <c r="JK550"/>
      <c r="JL550"/>
      <c r="JM550"/>
      <c r="JN550"/>
      <c r="JO550"/>
      <c r="JP550"/>
      <c r="JQ550"/>
      <c r="JR550"/>
      <c r="JS550"/>
      <c r="JT550"/>
      <c r="JU550"/>
      <c r="JV550"/>
      <c r="JW550"/>
      <c r="JX550"/>
      <c r="JY550"/>
      <c r="JZ550"/>
      <c r="KA550"/>
      <c r="KB550"/>
      <c r="KC550"/>
      <c r="KD550"/>
      <c r="KE550"/>
      <c r="KF550"/>
      <c r="KG550"/>
      <c r="KH550"/>
      <c r="KI550"/>
      <c r="KJ550"/>
      <c r="KK550"/>
      <c r="KL550"/>
      <c r="KM550"/>
      <c r="KN550"/>
      <c r="KO550"/>
      <c r="KP550"/>
      <c r="KQ550"/>
      <c r="KR550"/>
      <c r="KS550"/>
    </row>
    <row r="551" spans="2:305" hidden="1" x14ac:dyDescent="0.25">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M551"/>
      <c r="CN551"/>
      <c r="CO551"/>
      <c r="CP551"/>
      <c r="CQ551"/>
      <c r="CR551"/>
      <c r="CS551"/>
      <c r="CT551"/>
      <c r="CU551"/>
      <c r="CV551"/>
      <c r="CW551"/>
      <c r="CX551"/>
      <c r="CY551"/>
      <c r="CZ551"/>
      <c r="DA551"/>
      <c r="DB551"/>
      <c r="DC551"/>
      <c r="DD551"/>
      <c r="DE551"/>
      <c r="DF551"/>
      <c r="DG551"/>
      <c r="DH551"/>
      <c r="DI551"/>
      <c r="DJ551"/>
      <c r="DK551"/>
      <c r="DL551"/>
      <c r="DM551"/>
      <c r="DN551"/>
      <c r="DO551"/>
      <c r="DP551"/>
      <c r="DQ551"/>
      <c r="DR551"/>
      <c r="DS551"/>
      <c r="DT551"/>
      <c r="DU551"/>
      <c r="DV551"/>
      <c r="DW551"/>
      <c r="DX551"/>
      <c r="DY551"/>
      <c r="DZ551"/>
      <c r="EA551"/>
      <c r="EB551"/>
      <c r="EC551"/>
      <c r="ED551"/>
      <c r="EE551"/>
      <c r="EF551"/>
      <c r="EG551"/>
      <c r="EH551"/>
      <c r="EI551"/>
      <c r="EJ551"/>
      <c r="EK551"/>
      <c r="EL551"/>
      <c r="EM551"/>
      <c r="EN551"/>
      <c r="EO551"/>
      <c r="EP551"/>
      <c r="EQ551"/>
      <c r="ER551"/>
      <c r="ES551"/>
      <c r="ET551"/>
      <c r="EU551"/>
      <c r="EV551"/>
      <c r="EW551"/>
      <c r="EX551"/>
      <c r="EY551"/>
      <c r="EZ551"/>
      <c r="FA551"/>
      <c r="FB551"/>
      <c r="FC551"/>
      <c r="FD551"/>
      <c r="FE551"/>
      <c r="FF551"/>
      <c r="FG551"/>
      <c r="FH551"/>
      <c r="FI551"/>
      <c r="FJ551"/>
      <c r="FK551"/>
      <c r="FL551"/>
      <c r="FM551"/>
      <c r="FN551"/>
      <c r="FO551"/>
      <c r="FP551"/>
      <c r="FQ551"/>
      <c r="FR551"/>
      <c r="FS551"/>
      <c r="FT551"/>
      <c r="FU551"/>
      <c r="FV551"/>
      <c r="FW551"/>
      <c r="FX551"/>
      <c r="FY551"/>
      <c r="FZ551"/>
      <c r="GA551"/>
      <c r="GB551"/>
      <c r="GC551"/>
      <c r="GD551"/>
      <c r="GE551"/>
      <c r="GF551"/>
      <c r="GG551"/>
      <c r="GH551"/>
      <c r="GI551"/>
      <c r="GJ551"/>
      <c r="GK551"/>
      <c r="GL551"/>
      <c r="GM551"/>
      <c r="GN551"/>
      <c r="GO551"/>
      <c r="GP551"/>
      <c r="GQ551"/>
      <c r="GR551"/>
      <c r="GS551"/>
      <c r="GT551"/>
      <c r="GU551"/>
      <c r="GV551"/>
      <c r="GW551"/>
      <c r="GX551"/>
      <c r="GY551"/>
      <c r="GZ551"/>
      <c r="HA551"/>
      <c r="HB551"/>
      <c r="HC551"/>
      <c r="HD551"/>
      <c r="HE551"/>
      <c r="HF551"/>
      <c r="HG551"/>
      <c r="HH551"/>
      <c r="HI551"/>
      <c r="HJ551"/>
      <c r="HK551"/>
      <c r="HL551"/>
      <c r="HM551"/>
      <c r="HN551"/>
      <c r="HO551"/>
      <c r="HP551"/>
      <c r="HQ551"/>
      <c r="HR551"/>
      <c r="HS551"/>
      <c r="HT551"/>
      <c r="HU551"/>
      <c r="HV551"/>
      <c r="HW551"/>
      <c r="HX551"/>
      <c r="HY551"/>
      <c r="HZ551"/>
      <c r="IA551"/>
      <c r="IB551"/>
      <c r="IC551"/>
      <c r="ID551"/>
      <c r="IE551"/>
      <c r="IF551"/>
      <c r="IG551"/>
      <c r="IH551"/>
      <c r="II551"/>
      <c r="IJ551"/>
      <c r="IK551"/>
      <c r="IL551"/>
      <c r="IM551"/>
      <c r="IN551"/>
      <c r="IO551"/>
      <c r="IP551"/>
      <c r="IQ551"/>
      <c r="IR551"/>
      <c r="IS551"/>
      <c r="IT551"/>
      <c r="IU551"/>
      <c r="IV551"/>
      <c r="IW551"/>
      <c r="IX551"/>
      <c r="IY551"/>
      <c r="IZ551"/>
      <c r="JA551"/>
      <c r="JB551"/>
      <c r="JC551"/>
      <c r="JD551"/>
      <c r="JE551"/>
      <c r="JF551"/>
      <c r="JG551"/>
      <c r="JH551"/>
      <c r="JI551"/>
      <c r="JJ551"/>
      <c r="JK551"/>
      <c r="JL551"/>
      <c r="JM551"/>
      <c r="JN551"/>
      <c r="JO551"/>
      <c r="JP551"/>
      <c r="JQ551"/>
      <c r="JR551"/>
      <c r="JS551"/>
      <c r="JT551"/>
      <c r="JU551"/>
      <c r="JV551"/>
      <c r="JW551"/>
      <c r="JX551"/>
      <c r="JY551"/>
      <c r="JZ551"/>
      <c r="KA551"/>
      <c r="KB551"/>
      <c r="KC551"/>
      <c r="KD551"/>
      <c r="KE551"/>
      <c r="KF551"/>
      <c r="KG551"/>
      <c r="KH551"/>
      <c r="KI551"/>
      <c r="KJ551"/>
      <c r="KK551"/>
      <c r="KL551"/>
      <c r="KM551"/>
      <c r="KN551"/>
      <c r="KO551"/>
      <c r="KP551"/>
      <c r="KQ551"/>
      <c r="KR551"/>
      <c r="KS551"/>
    </row>
    <row r="552" spans="2:305" hidden="1" x14ac:dyDescent="0.25">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c r="CW552"/>
      <c r="CX552"/>
      <c r="CY552"/>
      <c r="CZ552"/>
      <c r="DA552"/>
      <c r="DB552"/>
      <c r="DC552"/>
      <c r="DD552"/>
      <c r="DE552"/>
      <c r="DF552"/>
      <c r="DG552"/>
      <c r="DH552"/>
      <c r="DI552"/>
      <c r="DJ552"/>
      <c r="DK552"/>
      <c r="DL552"/>
      <c r="DM552"/>
      <c r="DN552"/>
      <c r="DO552"/>
      <c r="DP552"/>
      <c r="DQ552"/>
      <c r="DR552"/>
      <c r="DS552"/>
      <c r="DT552"/>
      <c r="DU552"/>
      <c r="DV552"/>
      <c r="DW552"/>
      <c r="DX552"/>
      <c r="DY552"/>
      <c r="DZ552"/>
      <c r="EA552"/>
      <c r="EB552"/>
      <c r="EC552"/>
      <c r="ED552"/>
      <c r="EE552"/>
      <c r="EF552"/>
      <c r="EG552"/>
      <c r="EH552"/>
      <c r="EI552"/>
      <c r="EJ552"/>
      <c r="EK552"/>
      <c r="EL552"/>
      <c r="EM552"/>
      <c r="EN552"/>
      <c r="EO552"/>
      <c r="EP552"/>
      <c r="EQ552"/>
      <c r="ER552"/>
      <c r="ES552"/>
      <c r="ET552"/>
      <c r="EU552"/>
      <c r="EV552"/>
      <c r="EW552"/>
      <c r="EX552"/>
      <c r="EY552"/>
      <c r="EZ552"/>
      <c r="FA552"/>
      <c r="FB552"/>
      <c r="FC552"/>
      <c r="FD552"/>
      <c r="FE552"/>
      <c r="FF552"/>
      <c r="FG552"/>
      <c r="FH552"/>
      <c r="FI552"/>
      <c r="FJ552"/>
      <c r="FK552"/>
      <c r="FL552"/>
      <c r="FM552"/>
      <c r="FN552"/>
      <c r="FO552"/>
      <c r="FP552"/>
      <c r="FQ552"/>
      <c r="FR552"/>
      <c r="FS552"/>
      <c r="FT552"/>
      <c r="FU552"/>
      <c r="FV552"/>
      <c r="FW552"/>
      <c r="FX552"/>
      <c r="FY552"/>
      <c r="FZ552"/>
      <c r="GA552"/>
      <c r="GB552"/>
      <c r="GC552"/>
      <c r="GD552"/>
      <c r="GE552"/>
      <c r="GF552"/>
      <c r="GG552"/>
      <c r="GH552"/>
      <c r="GI552"/>
      <c r="GJ552"/>
      <c r="GK552"/>
      <c r="GL552"/>
      <c r="GM552"/>
      <c r="GN552"/>
      <c r="GO552"/>
      <c r="GP552"/>
      <c r="GQ552"/>
      <c r="GR552"/>
      <c r="GS552"/>
      <c r="GT552"/>
      <c r="GU552"/>
      <c r="GV552"/>
      <c r="GW552"/>
      <c r="GX552"/>
      <c r="GY552"/>
      <c r="GZ552"/>
      <c r="HA552"/>
      <c r="HB552"/>
      <c r="HC552"/>
      <c r="HD552"/>
      <c r="HE552"/>
      <c r="HF552"/>
      <c r="HG552"/>
      <c r="HH552"/>
      <c r="HI552"/>
      <c r="HJ552"/>
      <c r="HK552"/>
      <c r="HL552"/>
      <c r="HM552"/>
      <c r="HN552"/>
      <c r="HO552"/>
      <c r="HP552"/>
      <c r="HQ552"/>
      <c r="HR552"/>
      <c r="HS552"/>
      <c r="HT552"/>
      <c r="HU552"/>
      <c r="HV552"/>
      <c r="HW552"/>
      <c r="HX552"/>
      <c r="HY552"/>
      <c r="HZ552"/>
      <c r="IA552"/>
      <c r="IB552"/>
      <c r="IC552"/>
      <c r="ID552"/>
      <c r="IE552"/>
      <c r="IF552"/>
      <c r="IG552"/>
      <c r="IH552"/>
      <c r="II552"/>
      <c r="IJ552"/>
      <c r="IK552"/>
      <c r="IL552"/>
      <c r="IM552"/>
      <c r="IN552"/>
      <c r="IO552"/>
      <c r="IP552"/>
      <c r="IQ552"/>
      <c r="IR552"/>
      <c r="IS552"/>
      <c r="IT552"/>
      <c r="IU552"/>
      <c r="IV552"/>
      <c r="IW552"/>
      <c r="IX552"/>
      <c r="IY552"/>
      <c r="IZ552"/>
      <c r="JA552"/>
      <c r="JB552"/>
      <c r="JC552"/>
      <c r="JD552"/>
      <c r="JE552"/>
      <c r="JF552"/>
      <c r="JG552"/>
      <c r="JH552"/>
      <c r="JI552"/>
      <c r="JJ552"/>
      <c r="JK552"/>
      <c r="JL552"/>
      <c r="JM552"/>
      <c r="JN552"/>
      <c r="JO552"/>
      <c r="JP552"/>
      <c r="JQ552"/>
      <c r="JR552"/>
      <c r="JS552"/>
      <c r="JT552"/>
      <c r="JU552"/>
      <c r="JV552"/>
      <c r="JW552"/>
      <c r="JX552"/>
      <c r="JY552"/>
      <c r="JZ552"/>
      <c r="KA552"/>
      <c r="KB552"/>
      <c r="KC552"/>
      <c r="KD552"/>
      <c r="KE552"/>
      <c r="KF552"/>
      <c r="KG552"/>
      <c r="KH552"/>
      <c r="KI552"/>
      <c r="KJ552"/>
      <c r="KK552"/>
      <c r="KL552"/>
      <c r="KM552"/>
      <c r="KN552"/>
      <c r="KO552"/>
      <c r="KP552"/>
      <c r="KQ552"/>
      <c r="KR552"/>
      <c r="KS552"/>
    </row>
    <row r="553" spans="2:305" hidden="1" x14ac:dyDescent="0.25">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c r="CW553"/>
      <c r="CX553"/>
      <c r="CY553"/>
      <c r="CZ553"/>
      <c r="DA553"/>
      <c r="DB553"/>
      <c r="DC553"/>
      <c r="DD553"/>
      <c r="DE553"/>
      <c r="DF553"/>
      <c r="DG553"/>
      <c r="DH553"/>
      <c r="DI553"/>
      <c r="DJ553"/>
      <c r="DK553"/>
      <c r="DL553"/>
      <c r="DM553"/>
      <c r="DN553"/>
      <c r="DO553"/>
      <c r="DP553"/>
      <c r="DQ553"/>
      <c r="DR553"/>
      <c r="DS553"/>
      <c r="DT553"/>
      <c r="DU553"/>
      <c r="DV553"/>
      <c r="DW553"/>
      <c r="DX553"/>
      <c r="DY553"/>
      <c r="DZ553"/>
      <c r="EA553"/>
      <c r="EB553"/>
      <c r="EC553"/>
      <c r="ED553"/>
      <c r="EE553"/>
      <c r="EF553"/>
      <c r="EG553"/>
      <c r="EH553"/>
      <c r="EI553"/>
      <c r="EJ553"/>
      <c r="EK553"/>
      <c r="EL553"/>
      <c r="EM553"/>
      <c r="EN553"/>
      <c r="EO553"/>
      <c r="EP553"/>
      <c r="EQ553"/>
      <c r="ER553"/>
      <c r="ES553"/>
      <c r="ET553"/>
      <c r="EU553"/>
      <c r="EV553"/>
      <c r="EW553"/>
      <c r="EX553"/>
      <c r="EY553"/>
      <c r="EZ553"/>
      <c r="FA553"/>
      <c r="FB553"/>
      <c r="FC553"/>
      <c r="FD553"/>
      <c r="FE553"/>
      <c r="FF553"/>
      <c r="FG553"/>
      <c r="FH553"/>
      <c r="FI553"/>
      <c r="FJ553"/>
      <c r="FK553"/>
      <c r="FL553"/>
      <c r="FM553"/>
      <c r="FN553"/>
      <c r="FO553"/>
      <c r="FP553"/>
      <c r="FQ553"/>
      <c r="FR553"/>
      <c r="FS553"/>
      <c r="FT553"/>
      <c r="FU553"/>
      <c r="FV553"/>
      <c r="FW553"/>
      <c r="FX553"/>
      <c r="FY553"/>
      <c r="FZ553"/>
      <c r="GA553"/>
      <c r="GB553"/>
      <c r="GC553"/>
      <c r="GD553"/>
      <c r="GE553"/>
      <c r="GF553"/>
      <c r="GG553"/>
      <c r="GH553"/>
      <c r="GI553"/>
      <c r="GJ553"/>
      <c r="GK553"/>
      <c r="GL553"/>
      <c r="GM553"/>
      <c r="GN553"/>
      <c r="GO553"/>
      <c r="GP553"/>
      <c r="GQ553"/>
      <c r="GR553"/>
      <c r="GS553"/>
      <c r="GT553"/>
      <c r="GU553"/>
      <c r="GV553"/>
      <c r="GW553"/>
      <c r="GX553"/>
      <c r="GY553"/>
      <c r="GZ553"/>
      <c r="HA553"/>
      <c r="HB553"/>
      <c r="HC553"/>
      <c r="HD553"/>
      <c r="HE553"/>
      <c r="HF553"/>
      <c r="HG553"/>
      <c r="HH553"/>
      <c r="HI553"/>
      <c r="HJ553"/>
      <c r="HK553"/>
      <c r="HL553"/>
      <c r="HM553"/>
      <c r="HN553"/>
      <c r="HO553"/>
      <c r="HP553"/>
      <c r="HQ553"/>
      <c r="HR553"/>
      <c r="HS553"/>
      <c r="HT553"/>
      <c r="HU553"/>
      <c r="HV553"/>
      <c r="HW553"/>
      <c r="HX553"/>
      <c r="HY553"/>
      <c r="HZ553"/>
      <c r="IA553"/>
      <c r="IB553"/>
      <c r="IC553"/>
      <c r="ID553"/>
      <c r="IE553"/>
      <c r="IF553"/>
      <c r="IG553"/>
      <c r="IH553"/>
      <c r="II553"/>
      <c r="IJ553"/>
      <c r="IK553"/>
      <c r="IL553"/>
      <c r="IM553"/>
      <c r="IN553"/>
      <c r="IO553"/>
      <c r="IP553"/>
      <c r="IQ553"/>
      <c r="IR553"/>
      <c r="IS553"/>
      <c r="IT553"/>
      <c r="IU553"/>
      <c r="IV553"/>
      <c r="IW553"/>
      <c r="IX553"/>
      <c r="IY553"/>
      <c r="IZ553"/>
      <c r="JA553"/>
      <c r="JB553"/>
      <c r="JC553"/>
      <c r="JD553"/>
      <c r="JE553"/>
      <c r="JF553"/>
      <c r="JG553"/>
      <c r="JH553"/>
      <c r="JI553"/>
      <c r="JJ553"/>
      <c r="JK553"/>
      <c r="JL553"/>
      <c r="JM553"/>
      <c r="JN553"/>
      <c r="JO553"/>
      <c r="JP553"/>
      <c r="JQ553"/>
      <c r="JR553"/>
      <c r="JS553"/>
      <c r="JT553"/>
      <c r="JU553"/>
      <c r="JV553"/>
      <c r="JW553"/>
      <c r="JX553"/>
      <c r="JY553"/>
      <c r="JZ553"/>
      <c r="KA553"/>
      <c r="KB553"/>
      <c r="KC553"/>
      <c r="KD553"/>
      <c r="KE553"/>
      <c r="KF553"/>
      <c r="KG553"/>
      <c r="KH553"/>
      <c r="KI553"/>
      <c r="KJ553"/>
      <c r="KK553"/>
      <c r="KL553"/>
      <c r="KM553"/>
      <c r="KN553"/>
      <c r="KO553"/>
      <c r="KP553"/>
      <c r="KQ553"/>
      <c r="KR553"/>
      <c r="KS553"/>
    </row>
    <row r="554" spans="2:305" hidden="1" x14ac:dyDescent="0.25">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c r="CW554"/>
      <c r="CX554"/>
      <c r="CY554"/>
      <c r="CZ554"/>
      <c r="DA554"/>
      <c r="DB554"/>
      <c r="DC554"/>
      <c r="DD554"/>
      <c r="DE554"/>
      <c r="DF554"/>
      <c r="DG554"/>
      <c r="DH554"/>
      <c r="DI554"/>
      <c r="DJ554"/>
      <c r="DK554"/>
      <c r="DL554"/>
      <c r="DM554"/>
      <c r="DN554"/>
      <c r="DO554"/>
      <c r="DP554"/>
      <c r="DQ554"/>
      <c r="DR554"/>
      <c r="DS554"/>
      <c r="DT554"/>
      <c r="DU554"/>
      <c r="DV554"/>
      <c r="DW554"/>
      <c r="DX554"/>
      <c r="DY554"/>
      <c r="DZ554"/>
      <c r="EA554"/>
      <c r="EB554"/>
      <c r="EC554"/>
      <c r="ED554"/>
      <c r="EE554"/>
      <c r="EF554"/>
      <c r="EG554"/>
      <c r="EH554"/>
      <c r="EI554"/>
      <c r="EJ554"/>
      <c r="EK554"/>
      <c r="EL554"/>
      <c r="EM554"/>
      <c r="EN554"/>
      <c r="EO554"/>
      <c r="EP554"/>
      <c r="EQ554"/>
      <c r="ER554"/>
      <c r="ES554"/>
      <c r="ET554"/>
      <c r="EU554"/>
      <c r="EV554"/>
      <c r="EW554"/>
      <c r="EX554"/>
      <c r="EY554"/>
      <c r="EZ554"/>
      <c r="FA554"/>
      <c r="FB554"/>
      <c r="FC554"/>
      <c r="FD554"/>
      <c r="FE554"/>
      <c r="FF554"/>
      <c r="FG554"/>
      <c r="FH554"/>
      <c r="FI554"/>
      <c r="FJ554"/>
      <c r="FK554"/>
      <c r="FL554"/>
      <c r="FM554"/>
      <c r="FN554"/>
      <c r="FO554"/>
      <c r="FP554"/>
      <c r="FQ554"/>
      <c r="FR554"/>
      <c r="FS554"/>
      <c r="FT554"/>
      <c r="FU554"/>
      <c r="FV554"/>
      <c r="FW554"/>
      <c r="FX554"/>
      <c r="FY554"/>
      <c r="FZ554"/>
      <c r="GA554"/>
      <c r="GB554"/>
      <c r="GC554"/>
      <c r="GD554"/>
      <c r="GE554"/>
      <c r="GF554"/>
      <c r="GG554"/>
      <c r="GH554"/>
      <c r="GI554"/>
      <c r="GJ554"/>
      <c r="GK554"/>
      <c r="GL554"/>
      <c r="GM554"/>
      <c r="GN554"/>
      <c r="GO554"/>
      <c r="GP554"/>
      <c r="GQ554"/>
      <c r="GR554"/>
      <c r="GS554"/>
      <c r="GT554"/>
      <c r="GU554"/>
      <c r="GV554"/>
      <c r="GW554"/>
      <c r="GX554"/>
      <c r="GY554"/>
      <c r="GZ554"/>
      <c r="HA554"/>
      <c r="HB554"/>
      <c r="HC554"/>
      <c r="HD554"/>
      <c r="HE554"/>
      <c r="HF554"/>
      <c r="HG554"/>
      <c r="HH554"/>
      <c r="HI554"/>
      <c r="HJ554"/>
      <c r="HK554"/>
      <c r="HL554"/>
      <c r="HM554"/>
      <c r="HN554"/>
      <c r="HO554"/>
      <c r="HP554"/>
      <c r="HQ554"/>
      <c r="HR554"/>
      <c r="HS554"/>
      <c r="HT554"/>
      <c r="HU554"/>
      <c r="HV554"/>
      <c r="HW554"/>
      <c r="HX554"/>
      <c r="HY554"/>
      <c r="HZ554"/>
      <c r="IA554"/>
      <c r="IB554"/>
      <c r="IC554"/>
      <c r="ID554"/>
      <c r="IE554"/>
      <c r="IF554"/>
      <c r="IG554"/>
      <c r="IH554"/>
      <c r="II554"/>
      <c r="IJ554"/>
      <c r="IK554"/>
      <c r="IL554"/>
      <c r="IM554"/>
      <c r="IN554"/>
      <c r="IO554"/>
      <c r="IP554"/>
      <c r="IQ554"/>
      <c r="IR554"/>
      <c r="IS554"/>
      <c r="IT554"/>
      <c r="IU554"/>
      <c r="IV554"/>
      <c r="IW554"/>
      <c r="IX554"/>
      <c r="IY554"/>
      <c r="IZ554"/>
      <c r="JA554"/>
      <c r="JB554"/>
      <c r="JC554"/>
      <c r="JD554"/>
      <c r="JE554"/>
      <c r="JF554"/>
      <c r="JG554"/>
      <c r="JH554"/>
      <c r="JI554"/>
      <c r="JJ554"/>
      <c r="JK554"/>
      <c r="JL554"/>
      <c r="JM554"/>
      <c r="JN554"/>
      <c r="JO554"/>
      <c r="JP554"/>
      <c r="JQ554"/>
      <c r="JR554"/>
      <c r="JS554"/>
      <c r="JT554"/>
      <c r="JU554"/>
      <c r="JV554"/>
      <c r="JW554"/>
      <c r="JX554"/>
      <c r="JY554"/>
      <c r="JZ554"/>
      <c r="KA554"/>
      <c r="KB554"/>
      <c r="KC554"/>
      <c r="KD554"/>
      <c r="KE554"/>
      <c r="KF554"/>
      <c r="KG554"/>
      <c r="KH554"/>
      <c r="KI554"/>
      <c r="KJ554"/>
      <c r="KK554"/>
      <c r="KL554"/>
      <c r="KM554"/>
      <c r="KN554"/>
      <c r="KO554"/>
      <c r="KP554"/>
      <c r="KQ554"/>
      <c r="KR554"/>
      <c r="KS554"/>
    </row>
    <row r="555" spans="2:305" hidden="1" x14ac:dyDescent="0.2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M555"/>
      <c r="CN555"/>
      <c r="CO555"/>
      <c r="CP555"/>
      <c r="CQ555"/>
      <c r="CR555"/>
      <c r="CS555"/>
      <c r="CT555"/>
      <c r="CU555"/>
      <c r="CV555"/>
      <c r="CW555"/>
      <c r="CX555"/>
      <c r="CY555"/>
      <c r="CZ555"/>
      <c r="DA555"/>
      <c r="DB555"/>
      <c r="DC555"/>
      <c r="DD555"/>
      <c r="DE555"/>
      <c r="DF555"/>
      <c r="DG555"/>
      <c r="DH555"/>
      <c r="DI555"/>
      <c r="DJ555"/>
      <c r="DK555"/>
      <c r="DL555"/>
      <c r="DM555"/>
      <c r="DN555"/>
      <c r="DO555"/>
      <c r="DP555"/>
      <c r="DQ555"/>
      <c r="DR555"/>
      <c r="DS555"/>
      <c r="DT555"/>
      <c r="DU555"/>
      <c r="DV555"/>
      <c r="DW555"/>
      <c r="DX555"/>
      <c r="DY555"/>
      <c r="DZ555"/>
      <c r="EA555"/>
      <c r="EB555"/>
      <c r="EC555"/>
      <c r="ED555"/>
      <c r="EE555"/>
      <c r="EF555"/>
      <c r="EG555"/>
      <c r="EH555"/>
      <c r="EI555"/>
      <c r="EJ555"/>
      <c r="EK555"/>
      <c r="EL555"/>
      <c r="EM555"/>
      <c r="EN555"/>
      <c r="EO555"/>
      <c r="EP555"/>
      <c r="EQ555"/>
      <c r="ER555"/>
      <c r="ES555"/>
      <c r="ET555"/>
      <c r="EU555"/>
      <c r="EV555"/>
      <c r="EW555"/>
      <c r="EX555"/>
      <c r="EY555"/>
      <c r="EZ555"/>
      <c r="FA555"/>
      <c r="FB555"/>
      <c r="FC555"/>
      <c r="FD555"/>
      <c r="FE555"/>
      <c r="FF555"/>
      <c r="FG555"/>
      <c r="FH555"/>
      <c r="FI555"/>
      <c r="FJ555"/>
      <c r="FK555"/>
      <c r="FL555"/>
      <c r="FM555"/>
      <c r="FN555"/>
      <c r="FO555"/>
      <c r="FP555"/>
      <c r="FQ555"/>
      <c r="FR555"/>
      <c r="FS555"/>
      <c r="FT555"/>
      <c r="FU555"/>
      <c r="FV555"/>
      <c r="FW555"/>
      <c r="FX555"/>
      <c r="FY555"/>
      <c r="FZ555"/>
      <c r="GA555"/>
      <c r="GB555"/>
      <c r="GC555"/>
      <c r="GD555"/>
      <c r="GE555"/>
      <c r="GF555"/>
      <c r="GG555"/>
      <c r="GH555"/>
      <c r="GI555"/>
      <c r="GJ555"/>
      <c r="GK555"/>
      <c r="GL555"/>
      <c r="GM555"/>
      <c r="GN555"/>
      <c r="GO555"/>
      <c r="GP555"/>
      <c r="GQ555"/>
      <c r="GR555"/>
      <c r="GS555"/>
      <c r="GT555"/>
      <c r="GU555"/>
      <c r="GV555"/>
      <c r="GW555"/>
      <c r="GX555"/>
      <c r="GY555"/>
      <c r="GZ555"/>
      <c r="HA555"/>
      <c r="HB555"/>
      <c r="HC555"/>
      <c r="HD555"/>
      <c r="HE555"/>
      <c r="HF555"/>
      <c r="HG555"/>
      <c r="HH555"/>
      <c r="HI555"/>
      <c r="HJ555"/>
      <c r="HK555"/>
      <c r="HL555"/>
      <c r="HM555"/>
      <c r="HN555"/>
      <c r="HO555"/>
      <c r="HP555"/>
      <c r="HQ555"/>
      <c r="HR555"/>
      <c r="HS555"/>
      <c r="HT555"/>
      <c r="HU555"/>
      <c r="HV555"/>
      <c r="HW555"/>
      <c r="HX555"/>
      <c r="HY555"/>
      <c r="HZ555"/>
      <c r="IA555"/>
      <c r="IB555"/>
      <c r="IC555"/>
      <c r="ID555"/>
      <c r="IE555"/>
      <c r="IF555"/>
      <c r="IG555"/>
      <c r="IH555"/>
      <c r="II555"/>
      <c r="IJ555"/>
      <c r="IK555"/>
      <c r="IL555"/>
      <c r="IM555"/>
      <c r="IN555"/>
      <c r="IO555"/>
      <c r="IP555"/>
      <c r="IQ555"/>
      <c r="IR555"/>
      <c r="IS555"/>
      <c r="IT555"/>
      <c r="IU555"/>
      <c r="IV555"/>
      <c r="IW555"/>
      <c r="IX555"/>
      <c r="IY555"/>
      <c r="IZ555"/>
      <c r="JA555"/>
      <c r="JB555"/>
      <c r="JC555"/>
      <c r="JD555"/>
      <c r="JE555"/>
      <c r="JF555"/>
      <c r="JG555"/>
      <c r="JH555"/>
      <c r="JI555"/>
      <c r="JJ555"/>
      <c r="JK555"/>
      <c r="JL555"/>
      <c r="JM555"/>
      <c r="JN555"/>
      <c r="JO555"/>
      <c r="JP555"/>
      <c r="JQ555"/>
      <c r="JR555"/>
      <c r="JS555"/>
      <c r="JT555"/>
      <c r="JU555"/>
      <c r="JV555"/>
      <c r="JW555"/>
      <c r="JX555"/>
      <c r="JY555"/>
      <c r="JZ555"/>
      <c r="KA555"/>
      <c r="KB555"/>
      <c r="KC555"/>
      <c r="KD555"/>
      <c r="KE555"/>
      <c r="KF555"/>
      <c r="KG555"/>
      <c r="KH555"/>
      <c r="KI555"/>
      <c r="KJ555"/>
      <c r="KK555"/>
      <c r="KL555"/>
      <c r="KM555"/>
      <c r="KN555"/>
      <c r="KO555"/>
      <c r="KP555"/>
      <c r="KQ555"/>
      <c r="KR555"/>
      <c r="KS555"/>
    </row>
    <row r="556" spans="2:305" hidden="1" x14ac:dyDescent="0.25">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c r="CW556"/>
      <c r="CX556"/>
      <c r="CY556"/>
      <c r="CZ556"/>
      <c r="DA556"/>
      <c r="DB556"/>
      <c r="DC556"/>
      <c r="DD556"/>
      <c r="DE556"/>
      <c r="DF556"/>
      <c r="DG556"/>
      <c r="DH556"/>
      <c r="DI556"/>
      <c r="DJ556"/>
      <c r="DK556"/>
      <c r="DL556"/>
      <c r="DM556"/>
      <c r="DN556"/>
      <c r="DO556"/>
      <c r="DP556"/>
      <c r="DQ556"/>
      <c r="DR556"/>
      <c r="DS556"/>
      <c r="DT556"/>
      <c r="DU556"/>
      <c r="DV556"/>
      <c r="DW556"/>
      <c r="DX556"/>
      <c r="DY556"/>
      <c r="DZ556"/>
      <c r="EA556"/>
      <c r="EB556"/>
      <c r="EC556"/>
      <c r="ED556"/>
      <c r="EE556"/>
      <c r="EF556"/>
      <c r="EG556"/>
      <c r="EH556"/>
      <c r="EI556"/>
      <c r="EJ556"/>
      <c r="EK556"/>
      <c r="EL556"/>
      <c r="EM556"/>
      <c r="EN556"/>
      <c r="EO556"/>
      <c r="EP556"/>
      <c r="EQ556"/>
      <c r="ER556"/>
      <c r="ES556"/>
      <c r="ET556"/>
      <c r="EU556"/>
      <c r="EV556"/>
      <c r="EW556"/>
      <c r="EX556"/>
      <c r="EY556"/>
      <c r="EZ556"/>
      <c r="FA556"/>
      <c r="FB556"/>
      <c r="FC556"/>
      <c r="FD556"/>
      <c r="FE556"/>
      <c r="FF556"/>
      <c r="FG556"/>
      <c r="FH556"/>
      <c r="FI556"/>
      <c r="FJ556"/>
      <c r="FK556"/>
      <c r="FL556"/>
      <c r="FM556"/>
      <c r="FN556"/>
      <c r="FO556"/>
      <c r="FP556"/>
      <c r="FQ556"/>
      <c r="FR556"/>
      <c r="FS556"/>
      <c r="FT556"/>
      <c r="FU556"/>
      <c r="FV556"/>
      <c r="FW556"/>
      <c r="FX556"/>
      <c r="FY556"/>
      <c r="FZ556"/>
      <c r="GA556"/>
      <c r="GB556"/>
      <c r="GC556"/>
      <c r="GD556"/>
      <c r="GE556"/>
      <c r="GF556"/>
      <c r="GG556"/>
      <c r="GH556"/>
      <c r="GI556"/>
      <c r="GJ556"/>
      <c r="GK556"/>
      <c r="GL556"/>
      <c r="GM556"/>
      <c r="GN556"/>
      <c r="GO556"/>
      <c r="GP556"/>
      <c r="GQ556"/>
      <c r="GR556"/>
      <c r="GS556"/>
      <c r="GT556"/>
      <c r="GU556"/>
      <c r="GV556"/>
      <c r="GW556"/>
      <c r="GX556"/>
      <c r="GY556"/>
      <c r="GZ556"/>
      <c r="HA556"/>
      <c r="HB556"/>
      <c r="HC556"/>
      <c r="HD556"/>
      <c r="HE556"/>
      <c r="HF556"/>
      <c r="HG556"/>
      <c r="HH556"/>
      <c r="HI556"/>
      <c r="HJ556"/>
      <c r="HK556"/>
      <c r="HL556"/>
      <c r="HM556"/>
      <c r="HN556"/>
      <c r="HO556"/>
      <c r="HP556"/>
      <c r="HQ556"/>
      <c r="HR556"/>
      <c r="HS556"/>
      <c r="HT556"/>
      <c r="HU556"/>
      <c r="HV556"/>
      <c r="HW556"/>
      <c r="HX556"/>
      <c r="HY556"/>
      <c r="HZ556"/>
      <c r="IA556"/>
      <c r="IB556"/>
      <c r="IC556"/>
      <c r="ID556"/>
      <c r="IE556"/>
      <c r="IF556"/>
      <c r="IG556"/>
      <c r="IH556"/>
      <c r="II556"/>
      <c r="IJ556"/>
      <c r="IK556"/>
      <c r="IL556"/>
      <c r="IM556"/>
      <c r="IN556"/>
      <c r="IO556"/>
      <c r="IP556"/>
      <c r="IQ556"/>
      <c r="IR556"/>
      <c r="IS556"/>
      <c r="IT556"/>
      <c r="IU556"/>
      <c r="IV556"/>
      <c r="IW556"/>
      <c r="IX556"/>
      <c r="IY556"/>
      <c r="IZ556"/>
      <c r="JA556"/>
      <c r="JB556"/>
      <c r="JC556"/>
      <c r="JD556"/>
      <c r="JE556"/>
      <c r="JF556"/>
      <c r="JG556"/>
      <c r="JH556"/>
      <c r="JI556"/>
      <c r="JJ556"/>
      <c r="JK556"/>
      <c r="JL556"/>
      <c r="JM556"/>
      <c r="JN556"/>
      <c r="JO556"/>
      <c r="JP556"/>
      <c r="JQ556"/>
      <c r="JR556"/>
      <c r="JS556"/>
      <c r="JT556"/>
      <c r="JU556"/>
      <c r="JV556"/>
      <c r="JW556"/>
      <c r="JX556"/>
      <c r="JY556"/>
      <c r="JZ556"/>
      <c r="KA556"/>
      <c r="KB556"/>
      <c r="KC556"/>
      <c r="KD556"/>
      <c r="KE556"/>
      <c r="KF556"/>
      <c r="KG556"/>
      <c r="KH556"/>
      <c r="KI556"/>
      <c r="KJ556"/>
      <c r="KK556"/>
      <c r="KL556"/>
      <c r="KM556"/>
      <c r="KN556"/>
      <c r="KO556"/>
      <c r="KP556"/>
      <c r="KQ556"/>
      <c r="KR556"/>
      <c r="KS556"/>
    </row>
    <row r="557" spans="2:305" hidden="1" x14ac:dyDescent="0.25">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M557"/>
      <c r="CN557"/>
      <c r="CO557"/>
      <c r="CP557"/>
      <c r="CQ557"/>
      <c r="CR557"/>
      <c r="CS557"/>
      <c r="CT557"/>
      <c r="CU557"/>
      <c r="CV557"/>
      <c r="CW557"/>
      <c r="CX557"/>
      <c r="CY557"/>
      <c r="CZ557"/>
      <c r="DA557"/>
      <c r="DB557"/>
      <c r="DC557"/>
      <c r="DD557"/>
      <c r="DE557"/>
      <c r="DF557"/>
      <c r="DG557"/>
      <c r="DH557"/>
      <c r="DI557"/>
      <c r="DJ557"/>
      <c r="DK557"/>
      <c r="DL557"/>
      <c r="DM557"/>
      <c r="DN557"/>
      <c r="DO557"/>
      <c r="DP557"/>
      <c r="DQ557"/>
      <c r="DR557"/>
      <c r="DS557"/>
      <c r="DT557"/>
      <c r="DU557"/>
      <c r="DV557"/>
      <c r="DW557"/>
      <c r="DX557"/>
      <c r="DY557"/>
      <c r="DZ557"/>
      <c r="EA557"/>
      <c r="EB557"/>
      <c r="EC557"/>
      <c r="ED557"/>
      <c r="EE557"/>
      <c r="EF557"/>
      <c r="EG557"/>
      <c r="EH557"/>
      <c r="EI557"/>
      <c r="EJ557"/>
      <c r="EK557"/>
      <c r="EL557"/>
      <c r="EM557"/>
      <c r="EN557"/>
      <c r="EO557"/>
      <c r="EP557"/>
      <c r="EQ557"/>
      <c r="ER557"/>
      <c r="ES557"/>
      <c r="ET557"/>
      <c r="EU557"/>
      <c r="EV557"/>
      <c r="EW557"/>
      <c r="EX557"/>
      <c r="EY557"/>
      <c r="EZ557"/>
      <c r="FA557"/>
      <c r="FB557"/>
      <c r="FC557"/>
      <c r="FD557"/>
      <c r="FE557"/>
      <c r="FF557"/>
      <c r="FG557"/>
      <c r="FH557"/>
      <c r="FI557"/>
      <c r="FJ557"/>
      <c r="FK557"/>
      <c r="FL557"/>
      <c r="FM557"/>
      <c r="FN557"/>
      <c r="FO557"/>
      <c r="FP557"/>
      <c r="FQ557"/>
      <c r="FR557"/>
      <c r="FS557"/>
      <c r="FT557"/>
      <c r="FU557"/>
      <c r="FV557"/>
      <c r="FW557"/>
      <c r="FX557"/>
      <c r="FY557"/>
      <c r="FZ557"/>
      <c r="GA557"/>
      <c r="GB557"/>
      <c r="GC557"/>
      <c r="GD557"/>
      <c r="GE557"/>
      <c r="GF557"/>
      <c r="GG557"/>
      <c r="GH557"/>
      <c r="GI557"/>
      <c r="GJ557"/>
      <c r="GK557"/>
      <c r="GL557"/>
      <c r="GM557"/>
      <c r="GN557"/>
      <c r="GO557"/>
      <c r="GP557"/>
      <c r="GQ557"/>
      <c r="GR557"/>
      <c r="GS557"/>
      <c r="GT557"/>
      <c r="GU557"/>
      <c r="GV557"/>
      <c r="GW557"/>
      <c r="GX557"/>
      <c r="GY557"/>
      <c r="GZ557"/>
      <c r="HA557"/>
      <c r="HB557"/>
      <c r="HC557"/>
      <c r="HD557"/>
      <c r="HE557"/>
      <c r="HF557"/>
      <c r="HG557"/>
      <c r="HH557"/>
      <c r="HI557"/>
      <c r="HJ557"/>
      <c r="HK557"/>
      <c r="HL557"/>
      <c r="HM557"/>
      <c r="HN557"/>
      <c r="HO557"/>
      <c r="HP557"/>
      <c r="HQ557"/>
      <c r="HR557"/>
      <c r="HS557"/>
      <c r="HT557"/>
      <c r="HU557"/>
      <c r="HV557"/>
      <c r="HW557"/>
      <c r="HX557"/>
      <c r="HY557"/>
      <c r="HZ557"/>
      <c r="IA557"/>
      <c r="IB557"/>
      <c r="IC557"/>
      <c r="ID557"/>
      <c r="IE557"/>
      <c r="IF557"/>
      <c r="IG557"/>
      <c r="IH557"/>
      <c r="II557"/>
      <c r="IJ557"/>
      <c r="IK557"/>
      <c r="IL557"/>
      <c r="IM557"/>
      <c r="IN557"/>
      <c r="IO557"/>
      <c r="IP557"/>
      <c r="IQ557"/>
      <c r="IR557"/>
      <c r="IS557"/>
      <c r="IT557"/>
      <c r="IU557"/>
      <c r="IV557"/>
      <c r="IW557"/>
      <c r="IX557"/>
      <c r="IY557"/>
      <c r="IZ557"/>
      <c r="JA557"/>
      <c r="JB557"/>
      <c r="JC557"/>
      <c r="JD557"/>
      <c r="JE557"/>
      <c r="JF557"/>
      <c r="JG557"/>
      <c r="JH557"/>
      <c r="JI557"/>
      <c r="JJ557"/>
      <c r="JK557"/>
      <c r="JL557"/>
      <c r="JM557"/>
      <c r="JN557"/>
      <c r="JO557"/>
      <c r="JP557"/>
      <c r="JQ557"/>
      <c r="JR557"/>
      <c r="JS557"/>
      <c r="JT557"/>
      <c r="JU557"/>
      <c r="JV557"/>
      <c r="JW557"/>
      <c r="JX557"/>
      <c r="JY557"/>
      <c r="JZ557"/>
      <c r="KA557"/>
      <c r="KB557"/>
      <c r="KC557"/>
      <c r="KD557"/>
      <c r="KE557"/>
      <c r="KF557"/>
      <c r="KG557"/>
      <c r="KH557"/>
      <c r="KI557"/>
      <c r="KJ557"/>
      <c r="KK557"/>
      <c r="KL557"/>
      <c r="KM557"/>
      <c r="KN557"/>
      <c r="KO557"/>
      <c r="KP557"/>
      <c r="KQ557"/>
      <c r="KR557"/>
      <c r="KS557"/>
    </row>
    <row r="558" spans="2:305" hidden="1" x14ac:dyDescent="0.25">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M558"/>
      <c r="CN558"/>
      <c r="CO558"/>
      <c r="CP558"/>
      <c r="CQ558"/>
      <c r="CR558"/>
      <c r="CS558"/>
      <c r="CT558"/>
      <c r="CU558"/>
      <c r="CV558"/>
      <c r="CW558"/>
      <c r="CX558"/>
      <c r="CY558"/>
      <c r="CZ558"/>
      <c r="DA558"/>
      <c r="DB558"/>
      <c r="DC558"/>
      <c r="DD558"/>
      <c r="DE558"/>
      <c r="DF558"/>
      <c r="DG558"/>
      <c r="DH558"/>
      <c r="DI558"/>
      <c r="DJ558"/>
      <c r="DK558"/>
      <c r="DL558"/>
      <c r="DM558"/>
      <c r="DN558"/>
      <c r="DO558"/>
      <c r="DP558"/>
      <c r="DQ558"/>
      <c r="DR558"/>
      <c r="DS558"/>
      <c r="DT558"/>
      <c r="DU558"/>
      <c r="DV558"/>
      <c r="DW558"/>
      <c r="DX558"/>
      <c r="DY558"/>
      <c r="DZ558"/>
      <c r="EA558"/>
      <c r="EB558"/>
      <c r="EC558"/>
      <c r="ED558"/>
      <c r="EE558"/>
      <c r="EF558"/>
      <c r="EG558"/>
      <c r="EH558"/>
      <c r="EI558"/>
      <c r="EJ558"/>
      <c r="EK558"/>
      <c r="EL558"/>
      <c r="EM558"/>
      <c r="EN558"/>
      <c r="EO558"/>
      <c r="EP558"/>
      <c r="EQ558"/>
      <c r="ER558"/>
      <c r="ES558"/>
      <c r="ET558"/>
      <c r="EU558"/>
      <c r="EV558"/>
      <c r="EW558"/>
      <c r="EX558"/>
      <c r="EY558"/>
      <c r="EZ558"/>
      <c r="FA558"/>
      <c r="FB558"/>
      <c r="FC558"/>
      <c r="FD558"/>
      <c r="FE558"/>
      <c r="FF558"/>
      <c r="FG558"/>
      <c r="FH558"/>
      <c r="FI558"/>
      <c r="FJ558"/>
      <c r="FK558"/>
      <c r="FL558"/>
      <c r="FM558"/>
      <c r="FN558"/>
      <c r="FO558"/>
      <c r="FP558"/>
      <c r="FQ558"/>
      <c r="FR558"/>
      <c r="FS558"/>
      <c r="FT558"/>
      <c r="FU558"/>
      <c r="FV558"/>
      <c r="FW558"/>
      <c r="FX558"/>
      <c r="FY558"/>
      <c r="FZ558"/>
      <c r="GA558"/>
      <c r="GB558"/>
      <c r="GC558"/>
      <c r="GD558"/>
      <c r="GE558"/>
      <c r="GF558"/>
      <c r="GG558"/>
      <c r="GH558"/>
      <c r="GI558"/>
      <c r="GJ558"/>
      <c r="GK558"/>
      <c r="GL558"/>
      <c r="GM558"/>
      <c r="GN558"/>
      <c r="GO558"/>
      <c r="GP558"/>
      <c r="GQ558"/>
      <c r="GR558"/>
      <c r="GS558"/>
      <c r="GT558"/>
      <c r="GU558"/>
      <c r="GV558"/>
      <c r="GW558"/>
      <c r="GX558"/>
      <c r="GY558"/>
      <c r="GZ558"/>
      <c r="HA558"/>
      <c r="HB558"/>
      <c r="HC558"/>
      <c r="HD558"/>
      <c r="HE558"/>
      <c r="HF558"/>
      <c r="HG558"/>
      <c r="HH558"/>
      <c r="HI558"/>
      <c r="HJ558"/>
      <c r="HK558"/>
      <c r="HL558"/>
      <c r="HM558"/>
      <c r="HN558"/>
      <c r="HO558"/>
      <c r="HP558"/>
      <c r="HQ558"/>
      <c r="HR558"/>
      <c r="HS558"/>
      <c r="HT558"/>
      <c r="HU558"/>
      <c r="HV558"/>
      <c r="HW558"/>
      <c r="HX558"/>
      <c r="HY558"/>
      <c r="HZ558"/>
      <c r="IA558"/>
      <c r="IB558"/>
      <c r="IC558"/>
      <c r="ID558"/>
      <c r="IE558"/>
      <c r="IF558"/>
      <c r="IG558"/>
      <c r="IH558"/>
      <c r="II558"/>
      <c r="IJ558"/>
      <c r="IK558"/>
      <c r="IL558"/>
      <c r="IM558"/>
      <c r="IN558"/>
      <c r="IO558"/>
      <c r="IP558"/>
      <c r="IQ558"/>
      <c r="IR558"/>
      <c r="IS558"/>
      <c r="IT558"/>
      <c r="IU558"/>
      <c r="IV558"/>
      <c r="IW558"/>
      <c r="IX558"/>
      <c r="IY558"/>
      <c r="IZ558"/>
      <c r="JA558"/>
      <c r="JB558"/>
      <c r="JC558"/>
      <c r="JD558"/>
      <c r="JE558"/>
      <c r="JF558"/>
      <c r="JG558"/>
      <c r="JH558"/>
      <c r="JI558"/>
      <c r="JJ558"/>
      <c r="JK558"/>
      <c r="JL558"/>
      <c r="JM558"/>
      <c r="JN558"/>
      <c r="JO558"/>
      <c r="JP558"/>
      <c r="JQ558"/>
      <c r="JR558"/>
      <c r="JS558"/>
      <c r="JT558"/>
      <c r="JU558"/>
      <c r="JV558"/>
      <c r="JW558"/>
      <c r="JX558"/>
      <c r="JY558"/>
      <c r="JZ558"/>
      <c r="KA558"/>
      <c r="KB558"/>
      <c r="KC558"/>
      <c r="KD558"/>
      <c r="KE558"/>
      <c r="KF558"/>
      <c r="KG558"/>
      <c r="KH558"/>
      <c r="KI558"/>
      <c r="KJ558"/>
      <c r="KK558"/>
      <c r="KL558"/>
      <c r="KM558"/>
      <c r="KN558"/>
      <c r="KO558"/>
      <c r="KP558"/>
      <c r="KQ558"/>
      <c r="KR558"/>
      <c r="KS558"/>
    </row>
    <row r="559" spans="2:305" hidden="1" x14ac:dyDescent="0.25">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M559"/>
      <c r="CN559"/>
      <c r="CO559"/>
      <c r="CP559"/>
      <c r="CQ559"/>
      <c r="CR559"/>
      <c r="CS559"/>
      <c r="CT559"/>
      <c r="CU559"/>
      <c r="CV559"/>
      <c r="CW559"/>
      <c r="CX559"/>
      <c r="CY559"/>
      <c r="CZ559"/>
      <c r="DA559"/>
      <c r="DB559"/>
      <c r="DC559"/>
      <c r="DD559"/>
      <c r="DE559"/>
      <c r="DF559"/>
      <c r="DG559"/>
      <c r="DH559"/>
      <c r="DI559"/>
      <c r="DJ559"/>
      <c r="DK559"/>
      <c r="DL559"/>
      <c r="DM559"/>
      <c r="DN559"/>
      <c r="DO559"/>
      <c r="DP559"/>
      <c r="DQ559"/>
      <c r="DR559"/>
      <c r="DS559"/>
      <c r="DT559"/>
      <c r="DU559"/>
      <c r="DV559"/>
      <c r="DW559"/>
      <c r="DX559"/>
      <c r="DY559"/>
      <c r="DZ559"/>
      <c r="EA559"/>
      <c r="EB559"/>
      <c r="EC559"/>
      <c r="ED559"/>
      <c r="EE559"/>
      <c r="EF559"/>
      <c r="EG559"/>
      <c r="EH559"/>
      <c r="EI559"/>
      <c r="EJ559"/>
      <c r="EK559"/>
      <c r="EL559"/>
      <c r="EM559"/>
      <c r="EN559"/>
      <c r="EO559"/>
      <c r="EP559"/>
      <c r="EQ559"/>
      <c r="ER559"/>
      <c r="ES559"/>
      <c r="ET559"/>
      <c r="EU559"/>
      <c r="EV559"/>
      <c r="EW559"/>
      <c r="EX559"/>
      <c r="EY559"/>
      <c r="EZ559"/>
      <c r="FA559"/>
      <c r="FB559"/>
      <c r="FC559"/>
      <c r="FD559"/>
      <c r="FE559"/>
      <c r="FF559"/>
      <c r="FG559"/>
      <c r="FH559"/>
      <c r="FI559"/>
      <c r="FJ559"/>
      <c r="FK559"/>
      <c r="FL559"/>
      <c r="FM559"/>
      <c r="FN559"/>
      <c r="FO559"/>
      <c r="FP559"/>
      <c r="FQ559"/>
      <c r="FR559"/>
      <c r="FS559"/>
      <c r="FT559"/>
      <c r="FU559"/>
      <c r="FV559"/>
      <c r="FW559"/>
      <c r="FX559"/>
      <c r="FY559"/>
      <c r="FZ559"/>
      <c r="GA559"/>
      <c r="GB559"/>
      <c r="GC559"/>
      <c r="GD559"/>
      <c r="GE559"/>
      <c r="GF559"/>
      <c r="GG559"/>
      <c r="GH559"/>
      <c r="GI559"/>
      <c r="GJ559"/>
      <c r="GK559"/>
      <c r="GL559"/>
      <c r="GM559"/>
      <c r="GN559"/>
      <c r="GO559"/>
      <c r="GP559"/>
      <c r="GQ559"/>
      <c r="GR559"/>
      <c r="GS559"/>
      <c r="GT559"/>
      <c r="GU559"/>
      <c r="GV559"/>
      <c r="GW559"/>
      <c r="GX559"/>
      <c r="GY559"/>
      <c r="GZ559"/>
      <c r="HA559"/>
      <c r="HB559"/>
      <c r="HC559"/>
      <c r="HD559"/>
      <c r="HE559"/>
      <c r="HF559"/>
      <c r="HG559"/>
      <c r="HH559"/>
      <c r="HI559"/>
      <c r="HJ559"/>
      <c r="HK559"/>
      <c r="HL559"/>
      <c r="HM559"/>
      <c r="HN559"/>
      <c r="HO559"/>
      <c r="HP559"/>
      <c r="HQ559"/>
      <c r="HR559"/>
      <c r="HS559"/>
      <c r="HT559"/>
      <c r="HU559"/>
      <c r="HV559"/>
      <c r="HW559"/>
      <c r="HX559"/>
      <c r="HY559"/>
      <c r="HZ559"/>
      <c r="IA559"/>
      <c r="IB559"/>
      <c r="IC559"/>
      <c r="ID559"/>
      <c r="IE559"/>
      <c r="IF559"/>
      <c r="IG559"/>
      <c r="IH559"/>
      <c r="II559"/>
      <c r="IJ559"/>
      <c r="IK559"/>
      <c r="IL559"/>
      <c r="IM559"/>
      <c r="IN559"/>
      <c r="IO559"/>
      <c r="IP559"/>
      <c r="IQ559"/>
      <c r="IR559"/>
      <c r="IS559"/>
      <c r="IT559"/>
      <c r="IU559"/>
      <c r="IV559"/>
      <c r="IW559"/>
      <c r="IX559"/>
      <c r="IY559"/>
      <c r="IZ559"/>
      <c r="JA559"/>
      <c r="JB559"/>
      <c r="JC559"/>
      <c r="JD559"/>
      <c r="JE559"/>
      <c r="JF559"/>
      <c r="JG559"/>
      <c r="JH559"/>
      <c r="JI559"/>
      <c r="JJ559"/>
      <c r="JK559"/>
      <c r="JL559"/>
      <c r="JM559"/>
      <c r="JN559"/>
      <c r="JO559"/>
      <c r="JP559"/>
      <c r="JQ559"/>
      <c r="JR559"/>
      <c r="JS559"/>
      <c r="JT559"/>
      <c r="JU559"/>
      <c r="JV559"/>
      <c r="JW559"/>
      <c r="JX559"/>
      <c r="JY559"/>
      <c r="JZ559"/>
      <c r="KA559"/>
      <c r="KB559"/>
      <c r="KC559"/>
      <c r="KD559"/>
      <c r="KE559"/>
      <c r="KF559"/>
      <c r="KG559"/>
      <c r="KH559"/>
      <c r="KI559"/>
      <c r="KJ559"/>
      <c r="KK559"/>
      <c r="KL559"/>
      <c r="KM559"/>
      <c r="KN559"/>
      <c r="KO559"/>
      <c r="KP559"/>
      <c r="KQ559"/>
      <c r="KR559"/>
      <c r="KS559"/>
    </row>
    <row r="560" spans="2:305" hidden="1" x14ac:dyDescent="0.25">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M560"/>
      <c r="CN560"/>
      <c r="CO560"/>
      <c r="CP560"/>
      <c r="CQ560"/>
      <c r="CR560"/>
      <c r="CS560"/>
      <c r="CT560"/>
      <c r="CU560"/>
      <c r="CV560"/>
      <c r="CW560"/>
      <c r="CX560"/>
      <c r="CY560"/>
      <c r="CZ560"/>
      <c r="DA560"/>
      <c r="DB560"/>
      <c r="DC560"/>
      <c r="DD560"/>
      <c r="DE560"/>
      <c r="DF560"/>
      <c r="DG560"/>
      <c r="DH560"/>
      <c r="DI560"/>
      <c r="DJ560"/>
      <c r="DK560"/>
      <c r="DL560"/>
      <c r="DM560"/>
      <c r="DN560"/>
      <c r="DO560"/>
      <c r="DP560"/>
      <c r="DQ560"/>
      <c r="DR560"/>
      <c r="DS560"/>
      <c r="DT560"/>
      <c r="DU560"/>
      <c r="DV560"/>
      <c r="DW560"/>
      <c r="DX560"/>
      <c r="DY560"/>
      <c r="DZ560"/>
      <c r="EA560"/>
      <c r="EB560"/>
      <c r="EC560"/>
      <c r="ED560"/>
      <c r="EE560"/>
      <c r="EF560"/>
      <c r="EG560"/>
      <c r="EH560"/>
      <c r="EI560"/>
      <c r="EJ560"/>
      <c r="EK560"/>
      <c r="EL560"/>
      <c r="EM560"/>
      <c r="EN560"/>
      <c r="EO560"/>
      <c r="EP560"/>
      <c r="EQ560"/>
      <c r="ER560"/>
      <c r="ES560"/>
      <c r="ET560"/>
      <c r="EU560"/>
      <c r="EV560"/>
      <c r="EW560"/>
      <c r="EX560"/>
      <c r="EY560"/>
      <c r="EZ560"/>
      <c r="FA560"/>
      <c r="FB560"/>
      <c r="FC560"/>
      <c r="FD560"/>
      <c r="FE560"/>
      <c r="FF560"/>
      <c r="FG560"/>
      <c r="FH560"/>
      <c r="FI560"/>
      <c r="FJ560"/>
      <c r="FK560"/>
      <c r="FL560"/>
      <c r="FM560"/>
      <c r="FN560"/>
      <c r="FO560"/>
      <c r="FP560"/>
      <c r="FQ560"/>
      <c r="FR560"/>
      <c r="FS560"/>
      <c r="FT560"/>
      <c r="FU560"/>
      <c r="FV560"/>
      <c r="FW560"/>
      <c r="FX560"/>
      <c r="FY560"/>
      <c r="FZ560"/>
      <c r="GA560"/>
      <c r="GB560"/>
      <c r="GC560"/>
      <c r="GD560"/>
      <c r="GE560"/>
      <c r="GF560"/>
      <c r="GG560"/>
      <c r="GH560"/>
      <c r="GI560"/>
      <c r="GJ560"/>
      <c r="GK560"/>
      <c r="GL560"/>
      <c r="GM560"/>
      <c r="GN560"/>
      <c r="GO560"/>
      <c r="GP560"/>
      <c r="GQ560"/>
      <c r="GR560"/>
      <c r="GS560"/>
      <c r="GT560"/>
      <c r="GU560"/>
      <c r="GV560"/>
      <c r="GW560"/>
      <c r="GX560"/>
      <c r="GY560"/>
      <c r="GZ560"/>
      <c r="HA560"/>
      <c r="HB560"/>
      <c r="HC560"/>
      <c r="HD560"/>
      <c r="HE560"/>
      <c r="HF560"/>
      <c r="HG560"/>
      <c r="HH560"/>
      <c r="HI560"/>
      <c r="HJ560"/>
      <c r="HK560"/>
      <c r="HL560"/>
      <c r="HM560"/>
      <c r="HN560"/>
      <c r="HO560"/>
      <c r="HP560"/>
      <c r="HQ560"/>
      <c r="HR560"/>
      <c r="HS560"/>
      <c r="HT560"/>
      <c r="HU560"/>
      <c r="HV560"/>
      <c r="HW560"/>
      <c r="HX560"/>
      <c r="HY560"/>
      <c r="HZ560"/>
      <c r="IA560"/>
      <c r="IB560"/>
      <c r="IC560"/>
      <c r="ID560"/>
      <c r="IE560"/>
      <c r="IF560"/>
      <c r="IG560"/>
      <c r="IH560"/>
      <c r="II560"/>
      <c r="IJ560"/>
      <c r="IK560"/>
      <c r="IL560"/>
      <c r="IM560"/>
      <c r="IN560"/>
      <c r="IO560"/>
      <c r="IP560"/>
      <c r="IQ560"/>
      <c r="IR560"/>
      <c r="IS560"/>
      <c r="IT560"/>
      <c r="IU560"/>
      <c r="IV560"/>
      <c r="IW560"/>
      <c r="IX560"/>
      <c r="IY560"/>
      <c r="IZ560"/>
      <c r="JA560"/>
      <c r="JB560"/>
      <c r="JC560"/>
      <c r="JD560"/>
      <c r="JE560"/>
      <c r="JF560"/>
      <c r="JG560"/>
      <c r="JH560"/>
      <c r="JI560"/>
      <c r="JJ560"/>
      <c r="JK560"/>
      <c r="JL560"/>
      <c r="JM560"/>
      <c r="JN560"/>
      <c r="JO560"/>
      <c r="JP560"/>
      <c r="JQ560"/>
      <c r="JR560"/>
      <c r="JS560"/>
      <c r="JT560"/>
      <c r="JU560"/>
      <c r="JV560"/>
      <c r="JW560"/>
      <c r="JX560"/>
      <c r="JY560"/>
      <c r="JZ560"/>
      <c r="KA560"/>
      <c r="KB560"/>
      <c r="KC560"/>
      <c r="KD560"/>
      <c r="KE560"/>
      <c r="KF560"/>
      <c r="KG560"/>
      <c r="KH560"/>
      <c r="KI560"/>
      <c r="KJ560"/>
      <c r="KK560"/>
      <c r="KL560"/>
      <c r="KM560"/>
      <c r="KN560"/>
      <c r="KO560"/>
      <c r="KP560"/>
      <c r="KQ560"/>
      <c r="KR560"/>
      <c r="KS560"/>
    </row>
    <row r="561" spans="2:305" hidden="1" x14ac:dyDescent="0.25">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c r="CW561"/>
      <c r="CX561"/>
      <c r="CY561"/>
      <c r="CZ561"/>
      <c r="DA561"/>
      <c r="DB561"/>
      <c r="DC561"/>
      <c r="DD561"/>
      <c r="DE561"/>
      <c r="DF561"/>
      <c r="DG561"/>
      <c r="DH561"/>
      <c r="DI561"/>
      <c r="DJ561"/>
      <c r="DK561"/>
      <c r="DL561"/>
      <c r="DM561"/>
      <c r="DN561"/>
      <c r="DO561"/>
      <c r="DP561"/>
      <c r="DQ561"/>
      <c r="DR561"/>
      <c r="DS561"/>
      <c r="DT561"/>
      <c r="DU561"/>
      <c r="DV561"/>
      <c r="DW561"/>
      <c r="DX561"/>
      <c r="DY561"/>
      <c r="DZ561"/>
      <c r="EA561"/>
      <c r="EB561"/>
      <c r="EC561"/>
      <c r="ED561"/>
      <c r="EE561"/>
      <c r="EF561"/>
      <c r="EG561"/>
      <c r="EH561"/>
      <c r="EI561"/>
      <c r="EJ561"/>
      <c r="EK561"/>
      <c r="EL561"/>
      <c r="EM561"/>
      <c r="EN561"/>
      <c r="EO561"/>
      <c r="EP561"/>
      <c r="EQ561"/>
      <c r="ER561"/>
      <c r="ES561"/>
      <c r="ET561"/>
      <c r="EU561"/>
      <c r="EV561"/>
      <c r="EW561"/>
      <c r="EX561"/>
      <c r="EY561"/>
      <c r="EZ561"/>
      <c r="FA561"/>
      <c r="FB561"/>
      <c r="FC561"/>
      <c r="FD561"/>
      <c r="FE561"/>
      <c r="FF561"/>
      <c r="FG561"/>
      <c r="FH561"/>
      <c r="FI561"/>
      <c r="FJ561"/>
      <c r="FK561"/>
      <c r="FL561"/>
      <c r="FM561"/>
      <c r="FN561"/>
      <c r="FO561"/>
      <c r="FP561"/>
      <c r="FQ561"/>
      <c r="FR561"/>
      <c r="FS561"/>
      <c r="FT561"/>
      <c r="FU561"/>
      <c r="FV561"/>
      <c r="FW561"/>
      <c r="FX561"/>
      <c r="FY561"/>
      <c r="FZ561"/>
      <c r="GA561"/>
      <c r="GB561"/>
      <c r="GC561"/>
      <c r="GD561"/>
      <c r="GE561"/>
      <c r="GF561"/>
      <c r="GG561"/>
      <c r="GH561"/>
      <c r="GI561"/>
      <c r="GJ561"/>
      <c r="GK561"/>
      <c r="GL561"/>
      <c r="GM561"/>
      <c r="GN561"/>
      <c r="GO561"/>
      <c r="GP561"/>
      <c r="GQ561"/>
      <c r="GR561"/>
      <c r="GS561"/>
      <c r="GT561"/>
      <c r="GU561"/>
      <c r="GV561"/>
      <c r="GW561"/>
      <c r="GX561"/>
      <c r="GY561"/>
      <c r="GZ561"/>
      <c r="HA561"/>
      <c r="HB561"/>
      <c r="HC561"/>
      <c r="HD561"/>
      <c r="HE561"/>
      <c r="HF561"/>
      <c r="HG561"/>
      <c r="HH561"/>
      <c r="HI561"/>
      <c r="HJ561"/>
      <c r="HK561"/>
      <c r="HL561"/>
      <c r="HM561"/>
      <c r="HN561"/>
      <c r="HO561"/>
      <c r="HP561"/>
      <c r="HQ561"/>
      <c r="HR561"/>
      <c r="HS561"/>
      <c r="HT561"/>
      <c r="HU561"/>
      <c r="HV561"/>
      <c r="HW561"/>
      <c r="HX561"/>
      <c r="HY561"/>
      <c r="HZ561"/>
      <c r="IA561"/>
      <c r="IB561"/>
      <c r="IC561"/>
      <c r="ID561"/>
      <c r="IE561"/>
      <c r="IF561"/>
      <c r="IG561"/>
      <c r="IH561"/>
      <c r="II561"/>
      <c r="IJ561"/>
      <c r="IK561"/>
      <c r="IL561"/>
      <c r="IM561"/>
      <c r="IN561"/>
      <c r="IO561"/>
      <c r="IP561"/>
      <c r="IQ561"/>
      <c r="IR561"/>
      <c r="IS561"/>
      <c r="IT561"/>
      <c r="IU561"/>
      <c r="IV561"/>
      <c r="IW561"/>
      <c r="IX561"/>
      <c r="IY561"/>
      <c r="IZ561"/>
      <c r="JA561"/>
      <c r="JB561"/>
      <c r="JC561"/>
      <c r="JD561"/>
      <c r="JE561"/>
      <c r="JF561"/>
      <c r="JG561"/>
      <c r="JH561"/>
      <c r="JI561"/>
      <c r="JJ561"/>
      <c r="JK561"/>
      <c r="JL561"/>
      <c r="JM561"/>
      <c r="JN561"/>
      <c r="JO561"/>
      <c r="JP561"/>
      <c r="JQ561"/>
      <c r="JR561"/>
      <c r="JS561"/>
      <c r="JT561"/>
      <c r="JU561"/>
      <c r="JV561"/>
      <c r="JW561"/>
      <c r="JX561"/>
      <c r="JY561"/>
      <c r="JZ561"/>
      <c r="KA561"/>
      <c r="KB561"/>
      <c r="KC561"/>
      <c r="KD561"/>
      <c r="KE561"/>
      <c r="KF561"/>
      <c r="KG561"/>
      <c r="KH561"/>
      <c r="KI561"/>
      <c r="KJ561"/>
      <c r="KK561"/>
      <c r="KL561"/>
      <c r="KM561"/>
      <c r="KN561"/>
      <c r="KO561"/>
      <c r="KP561"/>
      <c r="KQ561"/>
      <c r="KR561"/>
      <c r="KS561"/>
    </row>
    <row r="562" spans="2:305" hidden="1" x14ac:dyDescent="0.25">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c r="CW562"/>
      <c r="CX562"/>
      <c r="CY562"/>
      <c r="CZ562"/>
      <c r="DA562"/>
      <c r="DB562"/>
      <c r="DC562"/>
      <c r="DD562"/>
      <c r="DE562"/>
      <c r="DF562"/>
      <c r="DG562"/>
      <c r="DH562"/>
      <c r="DI562"/>
      <c r="DJ562"/>
      <c r="DK562"/>
      <c r="DL562"/>
      <c r="DM562"/>
      <c r="DN562"/>
      <c r="DO562"/>
      <c r="DP562"/>
      <c r="DQ562"/>
      <c r="DR562"/>
      <c r="DS562"/>
      <c r="DT562"/>
      <c r="DU562"/>
      <c r="DV562"/>
      <c r="DW562"/>
      <c r="DX562"/>
      <c r="DY562"/>
      <c r="DZ562"/>
      <c r="EA562"/>
      <c r="EB562"/>
      <c r="EC562"/>
      <c r="ED562"/>
      <c r="EE562"/>
      <c r="EF562"/>
      <c r="EG562"/>
      <c r="EH562"/>
      <c r="EI562"/>
      <c r="EJ562"/>
      <c r="EK562"/>
      <c r="EL562"/>
      <c r="EM562"/>
      <c r="EN562"/>
      <c r="EO562"/>
      <c r="EP562"/>
      <c r="EQ562"/>
      <c r="ER562"/>
      <c r="ES562"/>
      <c r="ET562"/>
      <c r="EU562"/>
      <c r="EV562"/>
      <c r="EW562"/>
      <c r="EX562"/>
      <c r="EY562"/>
      <c r="EZ562"/>
      <c r="FA562"/>
      <c r="FB562"/>
      <c r="FC562"/>
      <c r="FD562"/>
      <c r="FE562"/>
      <c r="FF562"/>
      <c r="FG562"/>
      <c r="FH562"/>
      <c r="FI562"/>
      <c r="FJ562"/>
      <c r="FK562"/>
      <c r="FL562"/>
      <c r="FM562"/>
      <c r="FN562"/>
      <c r="FO562"/>
      <c r="FP562"/>
      <c r="FQ562"/>
      <c r="FR562"/>
      <c r="FS562"/>
      <c r="FT562"/>
      <c r="FU562"/>
      <c r="FV562"/>
      <c r="FW562"/>
      <c r="FX562"/>
      <c r="FY562"/>
      <c r="FZ562"/>
      <c r="GA562"/>
      <c r="GB562"/>
      <c r="GC562"/>
      <c r="GD562"/>
      <c r="GE562"/>
      <c r="GF562"/>
      <c r="GG562"/>
      <c r="GH562"/>
      <c r="GI562"/>
      <c r="GJ562"/>
      <c r="GK562"/>
      <c r="GL562"/>
      <c r="GM562"/>
      <c r="GN562"/>
      <c r="GO562"/>
      <c r="GP562"/>
      <c r="GQ562"/>
      <c r="GR562"/>
      <c r="GS562"/>
      <c r="GT562"/>
      <c r="GU562"/>
      <c r="GV562"/>
      <c r="GW562"/>
      <c r="GX562"/>
      <c r="GY562"/>
      <c r="GZ562"/>
      <c r="HA562"/>
      <c r="HB562"/>
      <c r="HC562"/>
      <c r="HD562"/>
      <c r="HE562"/>
      <c r="HF562"/>
      <c r="HG562"/>
      <c r="HH562"/>
      <c r="HI562"/>
      <c r="HJ562"/>
      <c r="HK562"/>
      <c r="HL562"/>
      <c r="HM562"/>
      <c r="HN562"/>
      <c r="HO562"/>
      <c r="HP562"/>
      <c r="HQ562"/>
      <c r="HR562"/>
      <c r="HS562"/>
      <c r="HT562"/>
      <c r="HU562"/>
      <c r="HV562"/>
      <c r="HW562"/>
      <c r="HX562"/>
      <c r="HY562"/>
      <c r="HZ562"/>
      <c r="IA562"/>
      <c r="IB562"/>
      <c r="IC562"/>
      <c r="ID562"/>
      <c r="IE562"/>
      <c r="IF562"/>
      <c r="IG562"/>
      <c r="IH562"/>
      <c r="II562"/>
      <c r="IJ562"/>
      <c r="IK562"/>
      <c r="IL562"/>
      <c r="IM562"/>
      <c r="IN562"/>
      <c r="IO562"/>
      <c r="IP562"/>
      <c r="IQ562"/>
      <c r="IR562"/>
      <c r="IS562"/>
      <c r="IT562"/>
      <c r="IU562"/>
      <c r="IV562"/>
      <c r="IW562"/>
      <c r="IX562"/>
      <c r="IY562"/>
      <c r="IZ562"/>
      <c r="JA562"/>
      <c r="JB562"/>
      <c r="JC562"/>
      <c r="JD562"/>
      <c r="JE562"/>
      <c r="JF562"/>
      <c r="JG562"/>
      <c r="JH562"/>
      <c r="JI562"/>
      <c r="JJ562"/>
      <c r="JK562"/>
      <c r="JL562"/>
      <c r="JM562"/>
      <c r="JN562"/>
      <c r="JO562"/>
      <c r="JP562"/>
      <c r="JQ562"/>
      <c r="JR562"/>
      <c r="JS562"/>
      <c r="JT562"/>
      <c r="JU562"/>
      <c r="JV562"/>
      <c r="JW562"/>
      <c r="JX562"/>
      <c r="JY562"/>
      <c r="JZ562"/>
      <c r="KA562"/>
      <c r="KB562"/>
      <c r="KC562"/>
      <c r="KD562"/>
      <c r="KE562"/>
      <c r="KF562"/>
      <c r="KG562"/>
      <c r="KH562"/>
      <c r="KI562"/>
      <c r="KJ562"/>
      <c r="KK562"/>
      <c r="KL562"/>
      <c r="KM562"/>
      <c r="KN562"/>
      <c r="KO562"/>
      <c r="KP562"/>
      <c r="KQ562"/>
      <c r="KR562"/>
      <c r="KS562"/>
    </row>
    <row r="563" spans="2:305" hidden="1" x14ac:dyDescent="0.25">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M563"/>
      <c r="CN563"/>
      <c r="CO563"/>
      <c r="CP563"/>
      <c r="CQ563"/>
      <c r="CR563"/>
      <c r="CS563"/>
      <c r="CT563"/>
      <c r="CU563"/>
      <c r="CV563"/>
      <c r="CW563"/>
      <c r="CX563"/>
      <c r="CY563"/>
      <c r="CZ563"/>
      <c r="DA563"/>
      <c r="DB563"/>
      <c r="DC563"/>
      <c r="DD563"/>
      <c r="DE563"/>
      <c r="DF563"/>
      <c r="DG563"/>
      <c r="DH563"/>
      <c r="DI563"/>
      <c r="DJ563"/>
      <c r="DK563"/>
      <c r="DL563"/>
      <c r="DM563"/>
      <c r="DN563"/>
      <c r="DO563"/>
      <c r="DP563"/>
      <c r="DQ563"/>
      <c r="DR563"/>
      <c r="DS563"/>
      <c r="DT563"/>
      <c r="DU563"/>
      <c r="DV563"/>
      <c r="DW563"/>
      <c r="DX563"/>
      <c r="DY563"/>
      <c r="DZ563"/>
      <c r="EA563"/>
      <c r="EB563"/>
      <c r="EC563"/>
      <c r="ED563"/>
      <c r="EE563"/>
      <c r="EF563"/>
      <c r="EG563"/>
      <c r="EH563"/>
      <c r="EI563"/>
      <c r="EJ563"/>
      <c r="EK563"/>
      <c r="EL563"/>
      <c r="EM563"/>
      <c r="EN563"/>
      <c r="EO563"/>
      <c r="EP563"/>
      <c r="EQ563"/>
      <c r="ER563"/>
      <c r="ES563"/>
      <c r="ET563"/>
      <c r="EU563"/>
      <c r="EV563"/>
      <c r="EW563"/>
      <c r="EX563"/>
      <c r="EY563"/>
      <c r="EZ563"/>
      <c r="FA563"/>
      <c r="FB563"/>
      <c r="FC563"/>
      <c r="FD563"/>
      <c r="FE563"/>
      <c r="FF563"/>
      <c r="FG563"/>
      <c r="FH563"/>
      <c r="FI563"/>
      <c r="FJ563"/>
      <c r="FK563"/>
      <c r="FL563"/>
      <c r="FM563"/>
      <c r="FN563"/>
      <c r="FO563"/>
      <c r="FP563"/>
      <c r="FQ563"/>
      <c r="FR563"/>
      <c r="FS563"/>
      <c r="FT563"/>
      <c r="FU563"/>
      <c r="FV563"/>
      <c r="FW563"/>
      <c r="FX563"/>
      <c r="FY563"/>
      <c r="FZ563"/>
      <c r="GA563"/>
      <c r="GB563"/>
      <c r="GC563"/>
      <c r="GD563"/>
      <c r="GE563"/>
      <c r="GF563"/>
      <c r="GG563"/>
      <c r="GH563"/>
      <c r="GI563"/>
      <c r="GJ563"/>
      <c r="GK563"/>
      <c r="GL563"/>
      <c r="GM563"/>
      <c r="GN563"/>
      <c r="GO563"/>
      <c r="GP563"/>
      <c r="GQ563"/>
      <c r="GR563"/>
      <c r="GS563"/>
      <c r="GT563"/>
      <c r="GU563"/>
      <c r="GV563"/>
      <c r="GW563"/>
      <c r="GX563"/>
      <c r="GY563"/>
      <c r="GZ563"/>
      <c r="HA563"/>
      <c r="HB563"/>
      <c r="HC563"/>
      <c r="HD563"/>
      <c r="HE563"/>
      <c r="HF563"/>
      <c r="HG563"/>
      <c r="HH563"/>
      <c r="HI563"/>
      <c r="HJ563"/>
      <c r="HK563"/>
      <c r="HL563"/>
      <c r="HM563"/>
      <c r="HN563"/>
      <c r="HO563"/>
      <c r="HP563"/>
      <c r="HQ563"/>
      <c r="HR563"/>
      <c r="HS563"/>
      <c r="HT563"/>
      <c r="HU563"/>
      <c r="HV563"/>
      <c r="HW563"/>
      <c r="HX563"/>
      <c r="HY563"/>
      <c r="HZ563"/>
      <c r="IA563"/>
      <c r="IB563"/>
      <c r="IC563"/>
      <c r="ID563"/>
      <c r="IE563"/>
      <c r="IF563"/>
      <c r="IG563"/>
      <c r="IH563"/>
      <c r="II563"/>
      <c r="IJ563"/>
      <c r="IK563"/>
      <c r="IL563"/>
      <c r="IM563"/>
      <c r="IN563"/>
      <c r="IO563"/>
      <c r="IP563"/>
      <c r="IQ563"/>
      <c r="IR563"/>
      <c r="IS563"/>
      <c r="IT563"/>
      <c r="IU563"/>
      <c r="IV563"/>
      <c r="IW563"/>
      <c r="IX563"/>
      <c r="IY563"/>
      <c r="IZ563"/>
      <c r="JA563"/>
      <c r="JB563"/>
      <c r="JC563"/>
      <c r="JD563"/>
      <c r="JE563"/>
      <c r="JF563"/>
      <c r="JG563"/>
      <c r="JH563"/>
      <c r="JI563"/>
      <c r="JJ563"/>
      <c r="JK563"/>
      <c r="JL563"/>
      <c r="JM563"/>
      <c r="JN563"/>
      <c r="JO563"/>
      <c r="JP563"/>
      <c r="JQ563"/>
      <c r="JR563"/>
      <c r="JS563"/>
      <c r="JT563"/>
      <c r="JU563"/>
      <c r="JV563"/>
      <c r="JW563"/>
      <c r="JX563"/>
      <c r="JY563"/>
      <c r="JZ563"/>
      <c r="KA563"/>
      <c r="KB563"/>
      <c r="KC563"/>
      <c r="KD563"/>
      <c r="KE563"/>
      <c r="KF563"/>
      <c r="KG563"/>
      <c r="KH563"/>
      <c r="KI563"/>
      <c r="KJ563"/>
      <c r="KK563"/>
      <c r="KL563"/>
      <c r="KM563"/>
      <c r="KN563"/>
      <c r="KO563"/>
      <c r="KP563"/>
      <c r="KQ563"/>
      <c r="KR563"/>
      <c r="KS563"/>
    </row>
    <row r="564" spans="2:305" hidden="1" x14ac:dyDescent="0.25">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M564"/>
      <c r="CN564"/>
      <c r="CO564"/>
      <c r="CP564"/>
      <c r="CQ564"/>
      <c r="CR564"/>
      <c r="CS564"/>
      <c r="CT564"/>
      <c r="CU564"/>
      <c r="CV564"/>
      <c r="CW564"/>
      <c r="CX564"/>
      <c r="CY564"/>
      <c r="CZ564"/>
      <c r="DA564"/>
      <c r="DB564"/>
      <c r="DC564"/>
      <c r="DD564"/>
      <c r="DE564"/>
      <c r="DF564"/>
      <c r="DG564"/>
      <c r="DH564"/>
      <c r="DI564"/>
      <c r="DJ564"/>
      <c r="DK564"/>
      <c r="DL564"/>
      <c r="DM564"/>
      <c r="DN564"/>
      <c r="DO564"/>
      <c r="DP564"/>
      <c r="DQ564"/>
      <c r="DR564"/>
      <c r="DS564"/>
      <c r="DT564"/>
      <c r="DU564"/>
      <c r="DV564"/>
      <c r="DW564"/>
      <c r="DX564"/>
      <c r="DY564"/>
      <c r="DZ564"/>
      <c r="EA564"/>
      <c r="EB564"/>
      <c r="EC564"/>
      <c r="ED564"/>
      <c r="EE564"/>
      <c r="EF564"/>
      <c r="EG564"/>
      <c r="EH564"/>
      <c r="EI564"/>
      <c r="EJ564"/>
      <c r="EK564"/>
      <c r="EL564"/>
      <c r="EM564"/>
      <c r="EN564"/>
      <c r="EO564"/>
      <c r="EP564"/>
      <c r="EQ564"/>
      <c r="ER564"/>
      <c r="ES564"/>
      <c r="ET564"/>
      <c r="EU564"/>
      <c r="EV564"/>
      <c r="EW564"/>
      <c r="EX564"/>
      <c r="EY564"/>
      <c r="EZ564"/>
      <c r="FA564"/>
      <c r="FB564"/>
      <c r="FC564"/>
      <c r="FD564"/>
      <c r="FE564"/>
      <c r="FF564"/>
      <c r="FG564"/>
      <c r="FH564"/>
      <c r="FI564"/>
      <c r="FJ564"/>
      <c r="FK564"/>
      <c r="FL564"/>
      <c r="FM564"/>
      <c r="FN564"/>
      <c r="FO564"/>
      <c r="FP564"/>
      <c r="FQ564"/>
      <c r="FR564"/>
      <c r="FS564"/>
      <c r="FT564"/>
      <c r="FU564"/>
      <c r="FV564"/>
      <c r="FW564"/>
      <c r="FX564"/>
      <c r="FY564"/>
      <c r="FZ564"/>
      <c r="GA564"/>
      <c r="GB564"/>
      <c r="GC564"/>
      <c r="GD564"/>
      <c r="GE564"/>
      <c r="GF564"/>
      <c r="GG564"/>
      <c r="GH564"/>
      <c r="GI564"/>
      <c r="GJ564"/>
      <c r="GK564"/>
      <c r="GL564"/>
      <c r="GM564"/>
      <c r="GN564"/>
      <c r="GO564"/>
      <c r="GP564"/>
      <c r="GQ564"/>
      <c r="GR564"/>
      <c r="GS564"/>
      <c r="GT564"/>
      <c r="GU564"/>
      <c r="GV564"/>
      <c r="GW564"/>
      <c r="GX564"/>
      <c r="GY564"/>
      <c r="GZ564"/>
      <c r="HA564"/>
      <c r="HB564"/>
      <c r="HC564"/>
      <c r="HD564"/>
      <c r="HE564"/>
      <c r="HF564"/>
      <c r="HG564"/>
      <c r="HH564"/>
      <c r="HI564"/>
      <c r="HJ564"/>
      <c r="HK564"/>
      <c r="HL564"/>
      <c r="HM564"/>
      <c r="HN564"/>
      <c r="HO564"/>
      <c r="HP564"/>
      <c r="HQ564"/>
      <c r="HR564"/>
      <c r="HS564"/>
      <c r="HT564"/>
      <c r="HU564"/>
      <c r="HV564"/>
      <c r="HW564"/>
      <c r="HX564"/>
      <c r="HY564"/>
      <c r="HZ564"/>
      <c r="IA564"/>
      <c r="IB564"/>
      <c r="IC564"/>
      <c r="ID564"/>
      <c r="IE564"/>
      <c r="IF564"/>
      <c r="IG564"/>
      <c r="IH564"/>
      <c r="II564"/>
      <c r="IJ564"/>
      <c r="IK564"/>
      <c r="IL564"/>
      <c r="IM564"/>
      <c r="IN564"/>
      <c r="IO564"/>
      <c r="IP564"/>
      <c r="IQ564"/>
      <c r="IR564"/>
      <c r="IS564"/>
      <c r="IT564"/>
      <c r="IU564"/>
      <c r="IV564"/>
      <c r="IW564"/>
      <c r="IX564"/>
      <c r="IY564"/>
      <c r="IZ564"/>
      <c r="JA564"/>
      <c r="JB564"/>
      <c r="JC564"/>
      <c r="JD564"/>
      <c r="JE564"/>
      <c r="JF564"/>
      <c r="JG564"/>
      <c r="JH564"/>
      <c r="JI564"/>
      <c r="JJ564"/>
      <c r="JK564"/>
      <c r="JL564"/>
      <c r="JM564"/>
      <c r="JN564"/>
      <c r="JO564"/>
      <c r="JP564"/>
      <c r="JQ564"/>
      <c r="JR564"/>
      <c r="JS564"/>
      <c r="JT564"/>
      <c r="JU564"/>
      <c r="JV564"/>
      <c r="JW564"/>
      <c r="JX564"/>
      <c r="JY564"/>
      <c r="JZ564"/>
      <c r="KA564"/>
      <c r="KB564"/>
      <c r="KC564"/>
      <c r="KD564"/>
      <c r="KE564"/>
      <c r="KF564"/>
      <c r="KG564"/>
      <c r="KH564"/>
      <c r="KI564"/>
      <c r="KJ564"/>
      <c r="KK564"/>
      <c r="KL564"/>
      <c r="KM564"/>
      <c r="KN564"/>
      <c r="KO564"/>
      <c r="KP564"/>
      <c r="KQ564"/>
      <c r="KR564"/>
      <c r="KS564"/>
    </row>
    <row r="565" spans="2:305" hidden="1" x14ac:dyDescent="0.2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c r="CQ565"/>
      <c r="CR565"/>
      <c r="CS565"/>
      <c r="CT565"/>
      <c r="CU565"/>
      <c r="CV565"/>
      <c r="CW565"/>
      <c r="CX565"/>
      <c r="CY565"/>
      <c r="CZ565"/>
      <c r="DA565"/>
      <c r="DB565"/>
      <c r="DC565"/>
      <c r="DD565"/>
      <c r="DE565"/>
      <c r="DF565"/>
      <c r="DG565"/>
      <c r="DH565"/>
      <c r="DI565"/>
      <c r="DJ565"/>
      <c r="DK565"/>
      <c r="DL565"/>
      <c r="DM565"/>
      <c r="DN565"/>
      <c r="DO565"/>
      <c r="DP565"/>
      <c r="DQ565"/>
      <c r="DR565"/>
      <c r="DS565"/>
      <c r="DT565"/>
      <c r="DU565"/>
      <c r="DV565"/>
      <c r="DW565"/>
      <c r="DX565"/>
      <c r="DY565"/>
      <c r="DZ565"/>
      <c r="EA565"/>
      <c r="EB565"/>
      <c r="EC565"/>
      <c r="ED565"/>
      <c r="EE565"/>
      <c r="EF565"/>
      <c r="EG565"/>
      <c r="EH565"/>
      <c r="EI565"/>
      <c r="EJ565"/>
      <c r="EK565"/>
      <c r="EL565"/>
      <c r="EM565"/>
      <c r="EN565"/>
      <c r="EO565"/>
      <c r="EP565"/>
      <c r="EQ565"/>
      <c r="ER565"/>
      <c r="ES565"/>
      <c r="ET565"/>
      <c r="EU565"/>
      <c r="EV565"/>
      <c r="EW565"/>
      <c r="EX565"/>
      <c r="EY565"/>
      <c r="EZ565"/>
      <c r="FA565"/>
      <c r="FB565"/>
      <c r="FC565"/>
      <c r="FD565"/>
      <c r="FE565"/>
      <c r="FF565"/>
      <c r="FG565"/>
      <c r="FH565"/>
      <c r="FI565"/>
      <c r="FJ565"/>
      <c r="FK565"/>
      <c r="FL565"/>
      <c r="FM565"/>
      <c r="FN565"/>
      <c r="FO565"/>
      <c r="FP565"/>
      <c r="FQ565"/>
      <c r="FR565"/>
      <c r="FS565"/>
      <c r="FT565"/>
      <c r="FU565"/>
      <c r="FV565"/>
      <c r="FW565"/>
      <c r="FX565"/>
      <c r="FY565"/>
      <c r="FZ565"/>
      <c r="GA565"/>
      <c r="GB565"/>
      <c r="GC565"/>
      <c r="GD565"/>
      <c r="GE565"/>
      <c r="GF565"/>
      <c r="GG565"/>
      <c r="GH565"/>
      <c r="GI565"/>
      <c r="GJ565"/>
      <c r="GK565"/>
      <c r="GL565"/>
      <c r="GM565"/>
      <c r="GN565"/>
      <c r="GO565"/>
      <c r="GP565"/>
      <c r="GQ565"/>
      <c r="GR565"/>
      <c r="GS565"/>
      <c r="GT565"/>
      <c r="GU565"/>
      <c r="GV565"/>
      <c r="GW565"/>
      <c r="GX565"/>
      <c r="GY565"/>
      <c r="GZ565"/>
      <c r="HA565"/>
      <c r="HB565"/>
      <c r="HC565"/>
      <c r="HD565"/>
      <c r="HE565"/>
      <c r="HF565"/>
      <c r="HG565"/>
      <c r="HH565"/>
      <c r="HI565"/>
      <c r="HJ565"/>
      <c r="HK565"/>
      <c r="HL565"/>
      <c r="HM565"/>
      <c r="HN565"/>
      <c r="HO565"/>
      <c r="HP565"/>
      <c r="HQ565"/>
      <c r="HR565"/>
      <c r="HS565"/>
      <c r="HT565"/>
      <c r="HU565"/>
      <c r="HV565"/>
      <c r="HW565"/>
      <c r="HX565"/>
      <c r="HY565"/>
      <c r="HZ565"/>
      <c r="IA565"/>
      <c r="IB565"/>
      <c r="IC565"/>
      <c r="ID565"/>
      <c r="IE565"/>
      <c r="IF565"/>
      <c r="IG565"/>
      <c r="IH565"/>
      <c r="II565"/>
      <c r="IJ565"/>
      <c r="IK565"/>
      <c r="IL565"/>
      <c r="IM565"/>
      <c r="IN565"/>
      <c r="IO565"/>
      <c r="IP565"/>
      <c r="IQ565"/>
      <c r="IR565"/>
      <c r="IS565"/>
      <c r="IT565"/>
      <c r="IU565"/>
      <c r="IV565"/>
      <c r="IW565"/>
      <c r="IX565"/>
      <c r="IY565"/>
      <c r="IZ565"/>
      <c r="JA565"/>
      <c r="JB565"/>
      <c r="JC565"/>
      <c r="JD565"/>
      <c r="JE565"/>
      <c r="JF565"/>
      <c r="JG565"/>
      <c r="JH565"/>
      <c r="JI565"/>
      <c r="JJ565"/>
      <c r="JK565"/>
      <c r="JL565"/>
      <c r="JM565"/>
      <c r="JN565"/>
      <c r="JO565"/>
      <c r="JP565"/>
      <c r="JQ565"/>
      <c r="JR565"/>
      <c r="JS565"/>
      <c r="JT565"/>
      <c r="JU565"/>
      <c r="JV565"/>
      <c r="JW565"/>
      <c r="JX565"/>
      <c r="JY565"/>
      <c r="JZ565"/>
      <c r="KA565"/>
      <c r="KB565"/>
      <c r="KC565"/>
      <c r="KD565"/>
      <c r="KE565"/>
      <c r="KF565"/>
      <c r="KG565"/>
      <c r="KH565"/>
      <c r="KI565"/>
      <c r="KJ565"/>
      <c r="KK565"/>
      <c r="KL565"/>
      <c r="KM565"/>
      <c r="KN565"/>
      <c r="KO565"/>
      <c r="KP565"/>
      <c r="KQ565"/>
      <c r="KR565"/>
      <c r="KS565"/>
    </row>
    <row r="566" spans="2:305" hidden="1" x14ac:dyDescent="0.25">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M566"/>
      <c r="CN566"/>
      <c r="CO566"/>
      <c r="CP566"/>
      <c r="CQ566"/>
      <c r="CR566"/>
      <c r="CS566"/>
      <c r="CT566"/>
      <c r="CU566"/>
      <c r="CV566"/>
      <c r="CW566"/>
      <c r="CX566"/>
      <c r="CY566"/>
      <c r="CZ566"/>
      <c r="DA566"/>
      <c r="DB566"/>
      <c r="DC566"/>
      <c r="DD566"/>
      <c r="DE566"/>
      <c r="DF566"/>
      <c r="DG566"/>
      <c r="DH566"/>
      <c r="DI566"/>
      <c r="DJ566"/>
      <c r="DK566"/>
      <c r="DL566"/>
      <c r="DM566"/>
      <c r="DN566"/>
      <c r="DO566"/>
      <c r="DP566"/>
      <c r="DQ566"/>
      <c r="DR566"/>
      <c r="DS566"/>
      <c r="DT566"/>
      <c r="DU566"/>
      <c r="DV566"/>
      <c r="DW566"/>
      <c r="DX566"/>
      <c r="DY566"/>
      <c r="DZ566"/>
      <c r="EA566"/>
      <c r="EB566"/>
      <c r="EC566"/>
      <c r="ED566"/>
      <c r="EE566"/>
      <c r="EF566"/>
      <c r="EG566"/>
      <c r="EH566"/>
      <c r="EI566"/>
      <c r="EJ566"/>
      <c r="EK566"/>
      <c r="EL566"/>
      <c r="EM566"/>
      <c r="EN566"/>
      <c r="EO566"/>
      <c r="EP566"/>
      <c r="EQ566"/>
      <c r="ER566"/>
      <c r="ES566"/>
      <c r="ET566"/>
      <c r="EU566"/>
      <c r="EV566"/>
      <c r="EW566"/>
      <c r="EX566"/>
      <c r="EY566"/>
      <c r="EZ566"/>
      <c r="FA566"/>
      <c r="FB566"/>
      <c r="FC566"/>
      <c r="FD566"/>
      <c r="FE566"/>
      <c r="FF566"/>
      <c r="FG566"/>
      <c r="FH566"/>
      <c r="FI566"/>
      <c r="FJ566"/>
      <c r="FK566"/>
      <c r="FL566"/>
      <c r="FM566"/>
      <c r="FN566"/>
      <c r="FO566"/>
      <c r="FP566"/>
      <c r="FQ566"/>
      <c r="FR566"/>
      <c r="FS566"/>
      <c r="FT566"/>
      <c r="FU566"/>
      <c r="FV566"/>
      <c r="FW566"/>
      <c r="FX566"/>
      <c r="FY566"/>
      <c r="FZ566"/>
      <c r="GA566"/>
      <c r="GB566"/>
      <c r="GC566"/>
      <c r="GD566"/>
      <c r="GE566"/>
      <c r="GF566"/>
      <c r="GG566"/>
      <c r="GH566"/>
      <c r="GI566"/>
      <c r="GJ566"/>
      <c r="GK566"/>
      <c r="GL566"/>
      <c r="GM566"/>
      <c r="GN566"/>
      <c r="GO566"/>
      <c r="GP566"/>
      <c r="GQ566"/>
      <c r="GR566"/>
      <c r="GS566"/>
      <c r="GT566"/>
      <c r="GU566"/>
      <c r="GV566"/>
      <c r="GW566"/>
      <c r="GX566"/>
      <c r="GY566"/>
      <c r="GZ566"/>
      <c r="HA566"/>
      <c r="HB566"/>
      <c r="HC566"/>
      <c r="HD566"/>
      <c r="HE566"/>
      <c r="HF566"/>
      <c r="HG566"/>
      <c r="HH566"/>
      <c r="HI566"/>
      <c r="HJ566"/>
      <c r="HK566"/>
      <c r="HL566"/>
      <c r="HM566"/>
      <c r="HN566"/>
      <c r="HO566"/>
      <c r="HP566"/>
      <c r="HQ566"/>
      <c r="HR566"/>
      <c r="HS566"/>
      <c r="HT566"/>
      <c r="HU566"/>
      <c r="HV566"/>
      <c r="HW566"/>
      <c r="HX566"/>
      <c r="HY566"/>
      <c r="HZ566"/>
      <c r="IA566"/>
      <c r="IB566"/>
      <c r="IC566"/>
      <c r="ID566"/>
      <c r="IE566"/>
      <c r="IF566"/>
      <c r="IG566"/>
      <c r="IH566"/>
      <c r="II566"/>
      <c r="IJ566"/>
      <c r="IK566"/>
      <c r="IL566"/>
      <c r="IM566"/>
      <c r="IN566"/>
      <c r="IO566"/>
      <c r="IP566"/>
      <c r="IQ566"/>
      <c r="IR566"/>
      <c r="IS566"/>
      <c r="IT566"/>
      <c r="IU566"/>
      <c r="IV566"/>
      <c r="IW566"/>
      <c r="IX566"/>
      <c r="IY566"/>
      <c r="IZ566"/>
      <c r="JA566"/>
      <c r="JB566"/>
      <c r="JC566"/>
      <c r="JD566"/>
      <c r="JE566"/>
      <c r="JF566"/>
      <c r="JG566"/>
      <c r="JH566"/>
      <c r="JI566"/>
      <c r="JJ566"/>
      <c r="JK566"/>
      <c r="JL566"/>
      <c r="JM566"/>
      <c r="JN566"/>
      <c r="JO566"/>
      <c r="JP566"/>
      <c r="JQ566"/>
      <c r="JR566"/>
      <c r="JS566"/>
      <c r="JT566"/>
      <c r="JU566"/>
      <c r="JV566"/>
      <c r="JW566"/>
      <c r="JX566"/>
      <c r="JY566"/>
      <c r="JZ566"/>
      <c r="KA566"/>
      <c r="KB566"/>
      <c r="KC566"/>
      <c r="KD566"/>
      <c r="KE566"/>
      <c r="KF566"/>
      <c r="KG566"/>
      <c r="KH566"/>
      <c r="KI566"/>
      <c r="KJ566"/>
      <c r="KK566"/>
      <c r="KL566"/>
      <c r="KM566"/>
      <c r="KN566"/>
      <c r="KO566"/>
      <c r="KP566"/>
      <c r="KQ566"/>
      <c r="KR566"/>
      <c r="KS566"/>
    </row>
    <row r="567" spans="2:305" hidden="1" x14ac:dyDescent="0.25">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c r="CW567"/>
      <c r="CX567"/>
      <c r="CY567"/>
      <c r="CZ567"/>
      <c r="DA567"/>
      <c r="DB567"/>
      <c r="DC567"/>
      <c r="DD567"/>
      <c r="DE567"/>
      <c r="DF567"/>
      <c r="DG567"/>
      <c r="DH567"/>
      <c r="DI567"/>
      <c r="DJ567"/>
      <c r="DK567"/>
      <c r="DL567"/>
      <c r="DM567"/>
      <c r="DN567"/>
      <c r="DO567"/>
      <c r="DP567"/>
      <c r="DQ567"/>
      <c r="DR567"/>
      <c r="DS567"/>
      <c r="DT567"/>
      <c r="DU567"/>
      <c r="DV567"/>
      <c r="DW567"/>
      <c r="DX567"/>
      <c r="DY567"/>
      <c r="DZ567"/>
      <c r="EA567"/>
      <c r="EB567"/>
      <c r="EC567"/>
      <c r="ED567"/>
      <c r="EE567"/>
      <c r="EF567"/>
      <c r="EG567"/>
      <c r="EH567"/>
      <c r="EI567"/>
      <c r="EJ567"/>
      <c r="EK567"/>
      <c r="EL567"/>
      <c r="EM567"/>
      <c r="EN567"/>
      <c r="EO567"/>
      <c r="EP567"/>
      <c r="EQ567"/>
      <c r="ER567"/>
      <c r="ES567"/>
      <c r="ET567"/>
      <c r="EU567"/>
      <c r="EV567"/>
      <c r="EW567"/>
      <c r="EX567"/>
      <c r="EY567"/>
      <c r="EZ567"/>
      <c r="FA567"/>
      <c r="FB567"/>
      <c r="FC567"/>
      <c r="FD567"/>
      <c r="FE567"/>
      <c r="FF567"/>
      <c r="FG567"/>
      <c r="FH567"/>
      <c r="FI567"/>
      <c r="FJ567"/>
      <c r="FK567"/>
      <c r="FL567"/>
      <c r="FM567"/>
      <c r="FN567"/>
      <c r="FO567"/>
      <c r="FP567"/>
      <c r="FQ567"/>
      <c r="FR567"/>
      <c r="FS567"/>
      <c r="FT567"/>
      <c r="FU567"/>
      <c r="FV567"/>
      <c r="FW567"/>
      <c r="FX567"/>
      <c r="FY567"/>
      <c r="FZ567"/>
      <c r="GA567"/>
      <c r="GB567"/>
      <c r="GC567"/>
      <c r="GD567"/>
      <c r="GE567"/>
      <c r="GF567"/>
      <c r="GG567"/>
      <c r="GH567"/>
      <c r="GI567"/>
      <c r="GJ567"/>
      <c r="GK567"/>
      <c r="GL567"/>
      <c r="GM567"/>
      <c r="GN567"/>
      <c r="GO567"/>
      <c r="GP567"/>
      <c r="GQ567"/>
      <c r="GR567"/>
      <c r="GS567"/>
      <c r="GT567"/>
      <c r="GU567"/>
      <c r="GV567"/>
      <c r="GW567"/>
      <c r="GX567"/>
      <c r="GY567"/>
      <c r="GZ567"/>
      <c r="HA567"/>
      <c r="HB567"/>
      <c r="HC567"/>
      <c r="HD567"/>
      <c r="HE567"/>
      <c r="HF567"/>
      <c r="HG567"/>
      <c r="HH567"/>
      <c r="HI567"/>
      <c r="HJ567"/>
      <c r="HK567"/>
      <c r="HL567"/>
      <c r="HM567"/>
      <c r="HN567"/>
      <c r="HO567"/>
      <c r="HP567"/>
      <c r="HQ567"/>
      <c r="HR567"/>
      <c r="HS567"/>
      <c r="HT567"/>
      <c r="HU567"/>
      <c r="HV567"/>
      <c r="HW567"/>
      <c r="HX567"/>
      <c r="HY567"/>
      <c r="HZ567"/>
      <c r="IA567"/>
      <c r="IB567"/>
      <c r="IC567"/>
      <c r="ID567"/>
      <c r="IE567"/>
      <c r="IF567"/>
      <c r="IG567"/>
      <c r="IH567"/>
      <c r="II567"/>
      <c r="IJ567"/>
      <c r="IK567"/>
      <c r="IL567"/>
      <c r="IM567"/>
      <c r="IN567"/>
      <c r="IO567"/>
      <c r="IP567"/>
      <c r="IQ567"/>
      <c r="IR567"/>
      <c r="IS567"/>
      <c r="IT567"/>
      <c r="IU567"/>
      <c r="IV567"/>
      <c r="IW567"/>
      <c r="IX567"/>
      <c r="IY567"/>
      <c r="IZ567"/>
      <c r="JA567"/>
      <c r="JB567"/>
      <c r="JC567"/>
      <c r="JD567"/>
      <c r="JE567"/>
      <c r="JF567"/>
      <c r="JG567"/>
      <c r="JH567"/>
      <c r="JI567"/>
      <c r="JJ567"/>
      <c r="JK567"/>
      <c r="JL567"/>
      <c r="JM567"/>
      <c r="JN567"/>
      <c r="JO567"/>
      <c r="JP567"/>
      <c r="JQ567"/>
      <c r="JR567"/>
      <c r="JS567"/>
      <c r="JT567"/>
      <c r="JU567"/>
      <c r="JV567"/>
      <c r="JW567"/>
      <c r="JX567"/>
      <c r="JY567"/>
      <c r="JZ567"/>
      <c r="KA567"/>
      <c r="KB567"/>
      <c r="KC567"/>
      <c r="KD567"/>
      <c r="KE567"/>
      <c r="KF567"/>
      <c r="KG567"/>
      <c r="KH567"/>
      <c r="KI567"/>
      <c r="KJ567"/>
      <c r="KK567"/>
      <c r="KL567"/>
      <c r="KM567"/>
      <c r="KN567"/>
      <c r="KO567"/>
      <c r="KP567"/>
      <c r="KQ567"/>
      <c r="KR567"/>
      <c r="KS567"/>
    </row>
    <row r="568" spans="2:305" hidden="1" x14ac:dyDescent="0.25">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M568"/>
      <c r="CN568"/>
      <c r="CO568"/>
      <c r="CP568"/>
      <c r="CQ568"/>
      <c r="CR568"/>
      <c r="CS568"/>
      <c r="CT568"/>
      <c r="CU568"/>
      <c r="CV568"/>
      <c r="CW568"/>
      <c r="CX568"/>
      <c r="CY568"/>
      <c r="CZ568"/>
      <c r="DA568"/>
      <c r="DB568"/>
      <c r="DC568"/>
      <c r="DD568"/>
      <c r="DE568"/>
      <c r="DF568"/>
      <c r="DG568"/>
      <c r="DH568"/>
      <c r="DI568"/>
      <c r="DJ568"/>
      <c r="DK568"/>
      <c r="DL568"/>
      <c r="DM568"/>
      <c r="DN568"/>
      <c r="DO568"/>
      <c r="DP568"/>
      <c r="DQ568"/>
      <c r="DR568"/>
      <c r="DS568"/>
      <c r="DT568"/>
      <c r="DU568"/>
      <c r="DV568"/>
      <c r="DW568"/>
      <c r="DX568"/>
      <c r="DY568"/>
      <c r="DZ568"/>
      <c r="EA568"/>
      <c r="EB568"/>
      <c r="EC568"/>
      <c r="ED568"/>
      <c r="EE568"/>
      <c r="EF568"/>
      <c r="EG568"/>
      <c r="EH568"/>
      <c r="EI568"/>
      <c r="EJ568"/>
      <c r="EK568"/>
      <c r="EL568"/>
      <c r="EM568"/>
      <c r="EN568"/>
      <c r="EO568"/>
      <c r="EP568"/>
      <c r="EQ568"/>
      <c r="ER568"/>
      <c r="ES568"/>
      <c r="ET568"/>
      <c r="EU568"/>
      <c r="EV568"/>
      <c r="EW568"/>
      <c r="EX568"/>
      <c r="EY568"/>
      <c r="EZ568"/>
      <c r="FA568"/>
      <c r="FB568"/>
      <c r="FC568"/>
      <c r="FD568"/>
      <c r="FE568"/>
      <c r="FF568"/>
      <c r="FG568"/>
      <c r="FH568"/>
      <c r="FI568"/>
      <c r="FJ568"/>
      <c r="FK568"/>
      <c r="FL568"/>
      <c r="FM568"/>
      <c r="FN568"/>
      <c r="FO568"/>
      <c r="FP568"/>
      <c r="FQ568"/>
      <c r="FR568"/>
      <c r="FS568"/>
      <c r="FT568"/>
      <c r="FU568"/>
      <c r="FV568"/>
      <c r="FW568"/>
      <c r="FX568"/>
      <c r="FY568"/>
      <c r="FZ568"/>
      <c r="GA568"/>
      <c r="GB568"/>
      <c r="GC568"/>
      <c r="GD568"/>
      <c r="GE568"/>
      <c r="GF568"/>
      <c r="GG568"/>
      <c r="GH568"/>
      <c r="GI568"/>
      <c r="GJ568"/>
      <c r="GK568"/>
      <c r="GL568"/>
      <c r="GM568"/>
      <c r="GN568"/>
      <c r="GO568"/>
      <c r="GP568"/>
      <c r="GQ568"/>
      <c r="GR568"/>
      <c r="GS568"/>
      <c r="GT568"/>
      <c r="GU568"/>
      <c r="GV568"/>
      <c r="GW568"/>
      <c r="GX568"/>
      <c r="GY568"/>
      <c r="GZ568"/>
      <c r="HA568"/>
      <c r="HB568"/>
      <c r="HC568"/>
      <c r="HD568"/>
      <c r="HE568"/>
      <c r="HF568"/>
      <c r="HG568"/>
      <c r="HH568"/>
      <c r="HI568"/>
      <c r="HJ568"/>
      <c r="HK568"/>
      <c r="HL568"/>
      <c r="HM568"/>
      <c r="HN568"/>
      <c r="HO568"/>
      <c r="HP568"/>
      <c r="HQ568"/>
      <c r="HR568"/>
      <c r="HS568"/>
      <c r="HT568"/>
      <c r="HU568"/>
      <c r="HV568"/>
      <c r="HW568"/>
      <c r="HX568"/>
      <c r="HY568"/>
      <c r="HZ568"/>
      <c r="IA568"/>
      <c r="IB568"/>
      <c r="IC568"/>
      <c r="ID568"/>
      <c r="IE568"/>
      <c r="IF568"/>
      <c r="IG568"/>
      <c r="IH568"/>
      <c r="II568"/>
      <c r="IJ568"/>
      <c r="IK568"/>
      <c r="IL568"/>
      <c r="IM568"/>
      <c r="IN568"/>
      <c r="IO568"/>
      <c r="IP568"/>
      <c r="IQ568"/>
      <c r="IR568"/>
      <c r="IS568"/>
      <c r="IT568"/>
      <c r="IU568"/>
      <c r="IV568"/>
      <c r="IW568"/>
      <c r="IX568"/>
      <c r="IY568"/>
      <c r="IZ568"/>
      <c r="JA568"/>
      <c r="JB568"/>
      <c r="JC568"/>
      <c r="JD568"/>
      <c r="JE568"/>
      <c r="JF568"/>
      <c r="JG568"/>
      <c r="JH568"/>
      <c r="JI568"/>
      <c r="JJ568"/>
      <c r="JK568"/>
      <c r="JL568"/>
      <c r="JM568"/>
      <c r="JN568"/>
      <c r="JO568"/>
      <c r="JP568"/>
      <c r="JQ568"/>
      <c r="JR568"/>
      <c r="JS568"/>
      <c r="JT568"/>
      <c r="JU568"/>
      <c r="JV568"/>
      <c r="JW568"/>
      <c r="JX568"/>
      <c r="JY568"/>
      <c r="JZ568"/>
      <c r="KA568"/>
      <c r="KB568"/>
      <c r="KC568"/>
      <c r="KD568"/>
      <c r="KE568"/>
      <c r="KF568"/>
      <c r="KG568"/>
      <c r="KH568"/>
      <c r="KI568"/>
      <c r="KJ568"/>
      <c r="KK568"/>
      <c r="KL568"/>
      <c r="KM568"/>
      <c r="KN568"/>
      <c r="KO568"/>
      <c r="KP568"/>
      <c r="KQ568"/>
      <c r="KR568"/>
      <c r="KS568"/>
    </row>
    <row r="569" spans="2:305" hidden="1" x14ac:dyDescent="0.25">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c r="CW569"/>
      <c r="CX569"/>
      <c r="CY569"/>
      <c r="CZ569"/>
      <c r="DA569"/>
      <c r="DB569"/>
      <c r="DC569"/>
      <c r="DD569"/>
      <c r="DE569"/>
      <c r="DF569"/>
      <c r="DG569"/>
      <c r="DH569"/>
      <c r="DI569"/>
      <c r="DJ569"/>
      <c r="DK569"/>
      <c r="DL569"/>
      <c r="DM569"/>
      <c r="DN569"/>
      <c r="DO569"/>
      <c r="DP569"/>
      <c r="DQ569"/>
      <c r="DR569"/>
      <c r="DS569"/>
      <c r="DT569"/>
      <c r="DU569"/>
      <c r="DV569"/>
      <c r="DW569"/>
      <c r="DX569"/>
      <c r="DY569"/>
      <c r="DZ569"/>
      <c r="EA569"/>
      <c r="EB569"/>
      <c r="EC569"/>
      <c r="ED569"/>
      <c r="EE569"/>
      <c r="EF569"/>
      <c r="EG569"/>
      <c r="EH569"/>
      <c r="EI569"/>
      <c r="EJ569"/>
      <c r="EK569"/>
      <c r="EL569"/>
      <c r="EM569"/>
      <c r="EN569"/>
      <c r="EO569"/>
      <c r="EP569"/>
      <c r="EQ569"/>
      <c r="ER569"/>
      <c r="ES569"/>
      <c r="ET569"/>
      <c r="EU569"/>
      <c r="EV569"/>
      <c r="EW569"/>
      <c r="EX569"/>
      <c r="EY569"/>
      <c r="EZ569"/>
      <c r="FA569"/>
      <c r="FB569"/>
      <c r="FC569"/>
      <c r="FD569"/>
      <c r="FE569"/>
      <c r="FF569"/>
      <c r="FG569"/>
      <c r="FH569"/>
      <c r="FI569"/>
      <c r="FJ569"/>
      <c r="FK569"/>
      <c r="FL569"/>
      <c r="FM569"/>
      <c r="FN569"/>
      <c r="FO569"/>
      <c r="FP569"/>
      <c r="FQ569"/>
      <c r="FR569"/>
      <c r="FS569"/>
      <c r="FT569"/>
      <c r="FU569"/>
      <c r="FV569"/>
      <c r="FW569"/>
      <c r="FX569"/>
      <c r="FY569"/>
      <c r="FZ569"/>
      <c r="GA569"/>
      <c r="GB569"/>
      <c r="GC569"/>
      <c r="GD569"/>
      <c r="GE569"/>
      <c r="GF569"/>
      <c r="GG569"/>
      <c r="GH569"/>
      <c r="GI569"/>
      <c r="GJ569"/>
      <c r="GK569"/>
      <c r="GL569"/>
      <c r="GM569"/>
      <c r="GN569"/>
      <c r="GO569"/>
      <c r="GP569"/>
      <c r="GQ569"/>
      <c r="GR569"/>
      <c r="GS569"/>
      <c r="GT569"/>
      <c r="GU569"/>
      <c r="GV569"/>
      <c r="GW569"/>
      <c r="GX569"/>
      <c r="GY569"/>
      <c r="GZ569"/>
      <c r="HA569"/>
      <c r="HB569"/>
      <c r="HC569"/>
      <c r="HD569"/>
      <c r="HE569"/>
      <c r="HF569"/>
      <c r="HG569"/>
      <c r="HH569"/>
      <c r="HI569"/>
      <c r="HJ569"/>
      <c r="HK569"/>
      <c r="HL569"/>
      <c r="HM569"/>
      <c r="HN569"/>
      <c r="HO569"/>
      <c r="HP569"/>
      <c r="HQ569"/>
      <c r="HR569"/>
      <c r="HS569"/>
      <c r="HT569"/>
      <c r="HU569"/>
      <c r="HV569"/>
      <c r="HW569"/>
      <c r="HX569"/>
      <c r="HY569"/>
      <c r="HZ569"/>
      <c r="IA569"/>
      <c r="IB569"/>
      <c r="IC569"/>
      <c r="ID569"/>
      <c r="IE569"/>
      <c r="IF569"/>
      <c r="IG569"/>
      <c r="IH569"/>
      <c r="II569"/>
      <c r="IJ569"/>
      <c r="IK569"/>
      <c r="IL569"/>
      <c r="IM569"/>
      <c r="IN569"/>
      <c r="IO569"/>
      <c r="IP569"/>
      <c r="IQ569"/>
      <c r="IR569"/>
      <c r="IS569"/>
      <c r="IT569"/>
      <c r="IU569"/>
      <c r="IV569"/>
      <c r="IW569"/>
      <c r="IX569"/>
      <c r="IY569"/>
      <c r="IZ569"/>
      <c r="JA569"/>
      <c r="JB569"/>
      <c r="JC569"/>
      <c r="JD569"/>
      <c r="JE569"/>
      <c r="JF569"/>
      <c r="JG569"/>
      <c r="JH569"/>
      <c r="JI569"/>
      <c r="JJ569"/>
      <c r="JK569"/>
      <c r="JL569"/>
      <c r="JM569"/>
      <c r="JN569"/>
      <c r="JO569"/>
      <c r="JP569"/>
      <c r="JQ569"/>
      <c r="JR569"/>
      <c r="JS569"/>
      <c r="JT569"/>
      <c r="JU569"/>
      <c r="JV569"/>
      <c r="JW569"/>
      <c r="JX569"/>
      <c r="JY569"/>
      <c r="JZ569"/>
      <c r="KA569"/>
      <c r="KB569"/>
      <c r="KC569"/>
      <c r="KD569"/>
      <c r="KE569"/>
      <c r="KF569"/>
      <c r="KG569"/>
      <c r="KH569"/>
      <c r="KI569"/>
      <c r="KJ569"/>
      <c r="KK569"/>
      <c r="KL569"/>
      <c r="KM569"/>
      <c r="KN569"/>
      <c r="KO569"/>
      <c r="KP569"/>
      <c r="KQ569"/>
      <c r="KR569"/>
      <c r="KS569"/>
    </row>
    <row r="570" spans="2:305" hidden="1" x14ac:dyDescent="0.25">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M570"/>
      <c r="CN570"/>
      <c r="CO570"/>
      <c r="CP570"/>
      <c r="CQ570"/>
      <c r="CR570"/>
      <c r="CS570"/>
      <c r="CT570"/>
      <c r="CU570"/>
      <c r="CV570"/>
      <c r="CW570"/>
      <c r="CX570"/>
      <c r="CY570"/>
      <c r="CZ570"/>
      <c r="DA570"/>
      <c r="DB570"/>
      <c r="DC570"/>
      <c r="DD570"/>
      <c r="DE570"/>
      <c r="DF570"/>
      <c r="DG570"/>
      <c r="DH570"/>
      <c r="DI570"/>
      <c r="DJ570"/>
      <c r="DK570"/>
      <c r="DL570"/>
      <c r="DM570"/>
      <c r="DN570"/>
      <c r="DO570"/>
      <c r="DP570"/>
      <c r="DQ570"/>
      <c r="DR570"/>
      <c r="DS570"/>
      <c r="DT570"/>
      <c r="DU570"/>
      <c r="DV570"/>
      <c r="DW570"/>
      <c r="DX570"/>
      <c r="DY570"/>
      <c r="DZ570"/>
      <c r="EA570"/>
      <c r="EB570"/>
      <c r="EC570"/>
      <c r="ED570"/>
      <c r="EE570"/>
      <c r="EF570"/>
      <c r="EG570"/>
      <c r="EH570"/>
      <c r="EI570"/>
      <c r="EJ570"/>
      <c r="EK570"/>
      <c r="EL570"/>
      <c r="EM570"/>
      <c r="EN570"/>
      <c r="EO570"/>
      <c r="EP570"/>
      <c r="EQ570"/>
      <c r="ER570"/>
      <c r="ES570"/>
      <c r="ET570"/>
      <c r="EU570"/>
      <c r="EV570"/>
      <c r="EW570"/>
      <c r="EX570"/>
      <c r="EY570"/>
      <c r="EZ570"/>
      <c r="FA570"/>
      <c r="FB570"/>
      <c r="FC570"/>
      <c r="FD570"/>
      <c r="FE570"/>
      <c r="FF570"/>
      <c r="FG570"/>
      <c r="FH570"/>
      <c r="FI570"/>
      <c r="FJ570"/>
      <c r="FK570"/>
      <c r="FL570"/>
      <c r="FM570"/>
      <c r="FN570"/>
      <c r="FO570"/>
      <c r="FP570"/>
      <c r="FQ570"/>
      <c r="FR570"/>
      <c r="FS570"/>
      <c r="FT570"/>
      <c r="FU570"/>
      <c r="FV570"/>
      <c r="FW570"/>
      <c r="FX570"/>
      <c r="FY570"/>
      <c r="FZ570"/>
      <c r="GA570"/>
      <c r="GB570"/>
      <c r="GC570"/>
      <c r="GD570"/>
      <c r="GE570"/>
      <c r="GF570"/>
      <c r="GG570"/>
      <c r="GH570"/>
      <c r="GI570"/>
      <c r="GJ570"/>
      <c r="GK570"/>
      <c r="GL570"/>
      <c r="GM570"/>
      <c r="GN570"/>
      <c r="GO570"/>
      <c r="GP570"/>
      <c r="GQ570"/>
      <c r="GR570"/>
      <c r="GS570"/>
      <c r="GT570"/>
      <c r="GU570"/>
      <c r="GV570"/>
      <c r="GW570"/>
      <c r="GX570"/>
      <c r="GY570"/>
      <c r="GZ570"/>
      <c r="HA570"/>
      <c r="HB570"/>
      <c r="HC570"/>
      <c r="HD570"/>
      <c r="HE570"/>
      <c r="HF570"/>
      <c r="HG570"/>
      <c r="HH570"/>
      <c r="HI570"/>
      <c r="HJ570"/>
      <c r="HK570"/>
      <c r="HL570"/>
      <c r="HM570"/>
      <c r="HN570"/>
      <c r="HO570"/>
      <c r="HP570"/>
      <c r="HQ570"/>
      <c r="HR570"/>
      <c r="HS570"/>
      <c r="HT570"/>
      <c r="HU570"/>
      <c r="HV570"/>
      <c r="HW570"/>
      <c r="HX570"/>
      <c r="HY570"/>
      <c r="HZ570"/>
      <c r="IA570"/>
      <c r="IB570"/>
      <c r="IC570"/>
      <c r="ID570"/>
      <c r="IE570"/>
      <c r="IF570"/>
      <c r="IG570"/>
      <c r="IH570"/>
      <c r="II570"/>
      <c r="IJ570"/>
      <c r="IK570"/>
      <c r="IL570"/>
      <c r="IM570"/>
      <c r="IN570"/>
      <c r="IO570"/>
      <c r="IP570"/>
      <c r="IQ570"/>
      <c r="IR570"/>
      <c r="IS570"/>
      <c r="IT570"/>
      <c r="IU570"/>
      <c r="IV570"/>
      <c r="IW570"/>
      <c r="IX570"/>
      <c r="IY570"/>
      <c r="IZ570"/>
      <c r="JA570"/>
      <c r="JB570"/>
      <c r="JC570"/>
      <c r="JD570"/>
      <c r="JE570"/>
      <c r="JF570"/>
      <c r="JG570"/>
      <c r="JH570"/>
      <c r="JI570"/>
      <c r="JJ570"/>
      <c r="JK570"/>
      <c r="JL570"/>
      <c r="JM570"/>
      <c r="JN570"/>
      <c r="JO570"/>
      <c r="JP570"/>
      <c r="JQ570"/>
      <c r="JR570"/>
      <c r="JS570"/>
      <c r="JT570"/>
      <c r="JU570"/>
      <c r="JV570"/>
      <c r="JW570"/>
      <c r="JX570"/>
      <c r="JY570"/>
      <c r="JZ570"/>
      <c r="KA570"/>
      <c r="KB570"/>
      <c r="KC570"/>
      <c r="KD570"/>
      <c r="KE570"/>
      <c r="KF570"/>
      <c r="KG570"/>
      <c r="KH570"/>
      <c r="KI570"/>
      <c r="KJ570"/>
      <c r="KK570"/>
      <c r="KL570"/>
      <c r="KM570"/>
      <c r="KN570"/>
      <c r="KO570"/>
      <c r="KP570"/>
      <c r="KQ570"/>
      <c r="KR570"/>
      <c r="KS570"/>
    </row>
    <row r="571" spans="2:305" hidden="1" x14ac:dyDescent="0.25">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M571"/>
      <c r="CN571"/>
      <c r="CO571"/>
      <c r="CP571"/>
      <c r="CQ571"/>
      <c r="CR571"/>
      <c r="CS571"/>
      <c r="CT571"/>
      <c r="CU571"/>
      <c r="CV571"/>
      <c r="CW571"/>
      <c r="CX571"/>
      <c r="CY571"/>
      <c r="CZ571"/>
      <c r="DA571"/>
      <c r="DB571"/>
      <c r="DC571"/>
      <c r="DD571"/>
      <c r="DE571"/>
      <c r="DF571"/>
      <c r="DG571"/>
      <c r="DH571"/>
      <c r="DI571"/>
      <c r="DJ571"/>
      <c r="DK571"/>
      <c r="DL571"/>
      <c r="DM571"/>
      <c r="DN571"/>
      <c r="DO571"/>
      <c r="DP571"/>
      <c r="DQ571"/>
      <c r="DR571"/>
      <c r="DS571"/>
      <c r="DT571"/>
      <c r="DU571"/>
      <c r="DV571"/>
      <c r="DW571"/>
      <c r="DX571"/>
      <c r="DY571"/>
      <c r="DZ571"/>
      <c r="EA571"/>
      <c r="EB571"/>
      <c r="EC571"/>
      <c r="ED571"/>
      <c r="EE571"/>
      <c r="EF571"/>
      <c r="EG571"/>
      <c r="EH571"/>
      <c r="EI571"/>
      <c r="EJ571"/>
      <c r="EK571"/>
      <c r="EL571"/>
      <c r="EM571"/>
      <c r="EN571"/>
      <c r="EO571"/>
      <c r="EP571"/>
      <c r="EQ571"/>
      <c r="ER571"/>
      <c r="ES571"/>
      <c r="ET571"/>
      <c r="EU571"/>
      <c r="EV571"/>
      <c r="EW571"/>
      <c r="EX571"/>
      <c r="EY571"/>
      <c r="EZ571"/>
      <c r="FA571"/>
      <c r="FB571"/>
      <c r="FC571"/>
      <c r="FD571"/>
      <c r="FE571"/>
      <c r="FF571"/>
      <c r="FG571"/>
      <c r="FH571"/>
      <c r="FI571"/>
      <c r="FJ571"/>
      <c r="FK571"/>
      <c r="FL571"/>
      <c r="FM571"/>
      <c r="FN571"/>
      <c r="FO571"/>
      <c r="FP571"/>
      <c r="FQ571"/>
      <c r="FR571"/>
      <c r="FS571"/>
      <c r="FT571"/>
      <c r="FU571"/>
      <c r="FV571"/>
      <c r="FW571"/>
      <c r="FX571"/>
      <c r="FY571"/>
      <c r="FZ571"/>
      <c r="GA571"/>
      <c r="GB571"/>
      <c r="GC571"/>
      <c r="GD571"/>
      <c r="GE571"/>
      <c r="GF571"/>
      <c r="GG571"/>
      <c r="GH571"/>
      <c r="GI571"/>
      <c r="GJ571"/>
      <c r="GK571"/>
      <c r="GL571"/>
      <c r="GM571"/>
      <c r="GN571"/>
      <c r="GO571"/>
      <c r="GP571"/>
      <c r="GQ571"/>
      <c r="GR571"/>
      <c r="GS571"/>
      <c r="GT571"/>
      <c r="GU571"/>
      <c r="GV571"/>
      <c r="GW571"/>
      <c r="GX571"/>
      <c r="GY571"/>
      <c r="GZ571"/>
      <c r="HA571"/>
      <c r="HB571"/>
      <c r="HC571"/>
      <c r="HD571"/>
      <c r="HE571"/>
      <c r="HF571"/>
      <c r="HG571"/>
      <c r="HH571"/>
      <c r="HI571"/>
      <c r="HJ571"/>
      <c r="HK571"/>
      <c r="HL571"/>
      <c r="HM571"/>
      <c r="HN571"/>
      <c r="HO571"/>
      <c r="HP571"/>
      <c r="HQ571"/>
      <c r="HR571"/>
      <c r="HS571"/>
      <c r="HT571"/>
      <c r="HU571"/>
      <c r="HV571"/>
      <c r="HW571"/>
      <c r="HX571"/>
      <c r="HY571"/>
      <c r="HZ571"/>
      <c r="IA571"/>
      <c r="IB571"/>
      <c r="IC571"/>
      <c r="ID571"/>
      <c r="IE571"/>
      <c r="IF571"/>
      <c r="IG571"/>
      <c r="IH571"/>
      <c r="II571"/>
      <c r="IJ571"/>
      <c r="IK571"/>
      <c r="IL571"/>
      <c r="IM571"/>
      <c r="IN571"/>
      <c r="IO571"/>
      <c r="IP571"/>
      <c r="IQ571"/>
      <c r="IR571"/>
      <c r="IS571"/>
      <c r="IT571"/>
      <c r="IU571"/>
      <c r="IV571"/>
      <c r="IW571"/>
      <c r="IX571"/>
      <c r="IY571"/>
      <c r="IZ571"/>
      <c r="JA571"/>
      <c r="JB571"/>
      <c r="JC571"/>
      <c r="JD571"/>
      <c r="JE571"/>
      <c r="JF571"/>
      <c r="JG571"/>
      <c r="JH571"/>
      <c r="JI571"/>
      <c r="JJ571"/>
      <c r="JK571"/>
      <c r="JL571"/>
      <c r="JM571"/>
      <c r="JN571"/>
      <c r="JO571"/>
      <c r="JP571"/>
      <c r="JQ571"/>
      <c r="JR571"/>
      <c r="JS571"/>
      <c r="JT571"/>
      <c r="JU571"/>
      <c r="JV571"/>
      <c r="JW571"/>
      <c r="JX571"/>
      <c r="JY571"/>
      <c r="JZ571"/>
      <c r="KA571"/>
      <c r="KB571"/>
      <c r="KC571"/>
      <c r="KD571"/>
      <c r="KE571"/>
      <c r="KF571"/>
      <c r="KG571"/>
      <c r="KH571"/>
      <c r="KI571"/>
      <c r="KJ571"/>
      <c r="KK571"/>
      <c r="KL571"/>
      <c r="KM571"/>
      <c r="KN571"/>
      <c r="KO571"/>
      <c r="KP571"/>
      <c r="KQ571"/>
      <c r="KR571"/>
      <c r="KS571"/>
    </row>
    <row r="572" spans="2:305" hidden="1" x14ac:dyDescent="0.25">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M572"/>
      <c r="CN572"/>
      <c r="CO572"/>
      <c r="CP572"/>
      <c r="CQ572"/>
      <c r="CR572"/>
      <c r="CS572"/>
      <c r="CT572"/>
      <c r="CU572"/>
      <c r="CV572"/>
      <c r="CW572"/>
      <c r="CX572"/>
      <c r="CY572"/>
      <c r="CZ572"/>
      <c r="DA572"/>
      <c r="DB572"/>
      <c r="DC572"/>
      <c r="DD572"/>
      <c r="DE572"/>
      <c r="DF572"/>
      <c r="DG572"/>
      <c r="DH572"/>
      <c r="DI572"/>
      <c r="DJ572"/>
      <c r="DK572"/>
      <c r="DL572"/>
      <c r="DM572"/>
      <c r="DN572"/>
      <c r="DO572"/>
      <c r="DP572"/>
      <c r="DQ572"/>
      <c r="DR572"/>
      <c r="DS572"/>
      <c r="DT572"/>
      <c r="DU572"/>
      <c r="DV572"/>
      <c r="DW572"/>
      <c r="DX572"/>
      <c r="DY572"/>
      <c r="DZ572"/>
      <c r="EA572"/>
      <c r="EB572"/>
      <c r="EC572"/>
      <c r="ED572"/>
      <c r="EE572"/>
      <c r="EF572"/>
      <c r="EG572"/>
      <c r="EH572"/>
      <c r="EI572"/>
      <c r="EJ572"/>
      <c r="EK572"/>
      <c r="EL572"/>
      <c r="EM572"/>
      <c r="EN572"/>
      <c r="EO572"/>
      <c r="EP572"/>
      <c r="EQ572"/>
      <c r="ER572"/>
      <c r="ES572"/>
      <c r="ET572"/>
      <c r="EU572"/>
      <c r="EV572"/>
      <c r="EW572"/>
      <c r="EX572"/>
      <c r="EY572"/>
      <c r="EZ572"/>
      <c r="FA572"/>
      <c r="FB572"/>
      <c r="FC572"/>
      <c r="FD572"/>
      <c r="FE572"/>
      <c r="FF572"/>
      <c r="FG572"/>
      <c r="FH572"/>
      <c r="FI572"/>
      <c r="FJ572"/>
      <c r="FK572"/>
      <c r="FL572"/>
      <c r="FM572"/>
      <c r="FN572"/>
      <c r="FO572"/>
      <c r="FP572"/>
      <c r="FQ572"/>
      <c r="FR572"/>
      <c r="FS572"/>
      <c r="FT572"/>
      <c r="FU572"/>
      <c r="FV572"/>
      <c r="FW572"/>
      <c r="FX572"/>
      <c r="FY572"/>
      <c r="FZ572"/>
      <c r="GA572"/>
      <c r="GB572"/>
      <c r="GC572"/>
      <c r="GD572"/>
      <c r="GE572"/>
      <c r="GF572"/>
      <c r="GG572"/>
      <c r="GH572"/>
      <c r="GI572"/>
      <c r="GJ572"/>
      <c r="GK572"/>
      <c r="GL572"/>
      <c r="GM572"/>
      <c r="GN572"/>
      <c r="GO572"/>
      <c r="GP572"/>
      <c r="GQ572"/>
      <c r="GR572"/>
      <c r="GS572"/>
      <c r="GT572"/>
      <c r="GU572"/>
      <c r="GV572"/>
      <c r="GW572"/>
      <c r="GX572"/>
      <c r="GY572"/>
      <c r="GZ572"/>
      <c r="HA572"/>
      <c r="HB572"/>
      <c r="HC572"/>
      <c r="HD572"/>
      <c r="HE572"/>
      <c r="HF572"/>
      <c r="HG572"/>
      <c r="HH572"/>
      <c r="HI572"/>
      <c r="HJ572"/>
      <c r="HK572"/>
      <c r="HL572"/>
      <c r="HM572"/>
      <c r="HN572"/>
      <c r="HO572"/>
      <c r="HP572"/>
      <c r="HQ572"/>
      <c r="HR572"/>
      <c r="HS572"/>
      <c r="HT572"/>
      <c r="HU572"/>
      <c r="HV572"/>
      <c r="HW572"/>
      <c r="HX572"/>
      <c r="HY572"/>
      <c r="HZ572"/>
      <c r="IA572"/>
      <c r="IB572"/>
      <c r="IC572"/>
      <c r="ID572"/>
      <c r="IE572"/>
      <c r="IF572"/>
      <c r="IG572"/>
      <c r="IH572"/>
      <c r="II572"/>
      <c r="IJ572"/>
      <c r="IK572"/>
      <c r="IL572"/>
      <c r="IM572"/>
      <c r="IN572"/>
      <c r="IO572"/>
      <c r="IP572"/>
      <c r="IQ572"/>
      <c r="IR572"/>
      <c r="IS572"/>
      <c r="IT572"/>
      <c r="IU572"/>
      <c r="IV572"/>
      <c r="IW572"/>
      <c r="IX572"/>
      <c r="IY572"/>
      <c r="IZ572"/>
      <c r="JA572"/>
      <c r="JB572"/>
      <c r="JC572"/>
      <c r="JD572"/>
      <c r="JE572"/>
      <c r="JF572"/>
      <c r="JG572"/>
      <c r="JH572"/>
      <c r="JI572"/>
      <c r="JJ572"/>
      <c r="JK572"/>
      <c r="JL572"/>
      <c r="JM572"/>
      <c r="JN572"/>
      <c r="JO572"/>
      <c r="JP572"/>
      <c r="JQ572"/>
      <c r="JR572"/>
      <c r="JS572"/>
      <c r="JT572"/>
      <c r="JU572"/>
      <c r="JV572"/>
      <c r="JW572"/>
      <c r="JX572"/>
      <c r="JY572"/>
      <c r="JZ572"/>
      <c r="KA572"/>
      <c r="KB572"/>
      <c r="KC572"/>
      <c r="KD572"/>
      <c r="KE572"/>
      <c r="KF572"/>
      <c r="KG572"/>
      <c r="KH572"/>
      <c r="KI572"/>
      <c r="KJ572"/>
      <c r="KK572"/>
      <c r="KL572"/>
      <c r="KM572"/>
      <c r="KN572"/>
      <c r="KO572"/>
      <c r="KP572"/>
      <c r="KQ572"/>
      <c r="KR572"/>
      <c r="KS572"/>
    </row>
    <row r="573" spans="2:305" hidden="1" x14ac:dyDescent="0.25">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M573"/>
      <c r="CN573"/>
      <c r="CO573"/>
      <c r="CP573"/>
      <c r="CQ573"/>
      <c r="CR573"/>
      <c r="CS573"/>
      <c r="CT573"/>
      <c r="CU573"/>
      <c r="CV573"/>
      <c r="CW573"/>
      <c r="CX573"/>
      <c r="CY573"/>
      <c r="CZ573"/>
      <c r="DA573"/>
      <c r="DB573"/>
      <c r="DC573"/>
      <c r="DD573"/>
      <c r="DE573"/>
      <c r="DF573"/>
      <c r="DG573"/>
      <c r="DH573"/>
      <c r="DI573"/>
      <c r="DJ573"/>
      <c r="DK573"/>
      <c r="DL573"/>
      <c r="DM573"/>
      <c r="DN573"/>
      <c r="DO573"/>
      <c r="DP573"/>
      <c r="DQ573"/>
      <c r="DR573"/>
      <c r="DS573"/>
      <c r="DT573"/>
      <c r="DU573"/>
      <c r="DV573"/>
      <c r="DW573"/>
      <c r="DX573"/>
      <c r="DY573"/>
      <c r="DZ573"/>
      <c r="EA573"/>
      <c r="EB573"/>
      <c r="EC573"/>
      <c r="ED573"/>
      <c r="EE573"/>
      <c r="EF573"/>
      <c r="EG573"/>
      <c r="EH573"/>
      <c r="EI573"/>
      <c r="EJ573"/>
      <c r="EK573"/>
      <c r="EL573"/>
      <c r="EM573"/>
      <c r="EN573"/>
      <c r="EO573"/>
      <c r="EP573"/>
      <c r="EQ573"/>
      <c r="ER573"/>
      <c r="ES573"/>
      <c r="ET573"/>
      <c r="EU573"/>
      <c r="EV573"/>
      <c r="EW573"/>
      <c r="EX573"/>
      <c r="EY573"/>
      <c r="EZ573"/>
      <c r="FA573"/>
      <c r="FB573"/>
      <c r="FC573"/>
      <c r="FD573"/>
      <c r="FE573"/>
      <c r="FF573"/>
      <c r="FG573"/>
      <c r="FH573"/>
      <c r="FI573"/>
      <c r="FJ573"/>
      <c r="FK573"/>
      <c r="FL573"/>
      <c r="FM573"/>
      <c r="FN573"/>
      <c r="FO573"/>
      <c r="FP573"/>
      <c r="FQ573"/>
      <c r="FR573"/>
      <c r="FS573"/>
      <c r="FT573"/>
      <c r="FU573"/>
      <c r="FV573"/>
      <c r="FW573"/>
      <c r="FX573"/>
      <c r="FY573"/>
      <c r="FZ573"/>
      <c r="GA573"/>
      <c r="GB573"/>
      <c r="GC573"/>
      <c r="GD573"/>
      <c r="GE573"/>
      <c r="GF573"/>
      <c r="GG573"/>
      <c r="GH573"/>
      <c r="GI573"/>
      <c r="GJ573"/>
      <c r="GK573"/>
      <c r="GL573"/>
      <c r="GM573"/>
      <c r="GN573"/>
      <c r="GO573"/>
      <c r="GP573"/>
      <c r="GQ573"/>
      <c r="GR573"/>
      <c r="GS573"/>
      <c r="GT573"/>
      <c r="GU573"/>
      <c r="GV573"/>
      <c r="GW573"/>
      <c r="GX573"/>
      <c r="GY573"/>
      <c r="GZ573"/>
      <c r="HA573"/>
      <c r="HB573"/>
      <c r="HC573"/>
      <c r="HD573"/>
      <c r="HE573"/>
      <c r="HF573"/>
      <c r="HG573"/>
      <c r="HH573"/>
      <c r="HI573"/>
      <c r="HJ573"/>
      <c r="HK573"/>
      <c r="HL573"/>
      <c r="HM573"/>
      <c r="HN573"/>
      <c r="HO573"/>
      <c r="HP573"/>
      <c r="HQ573"/>
      <c r="HR573"/>
      <c r="HS573"/>
      <c r="HT573"/>
      <c r="HU573"/>
      <c r="HV573"/>
      <c r="HW573"/>
      <c r="HX573"/>
      <c r="HY573"/>
      <c r="HZ573"/>
      <c r="IA573"/>
      <c r="IB573"/>
      <c r="IC573"/>
      <c r="ID573"/>
      <c r="IE573"/>
      <c r="IF573"/>
      <c r="IG573"/>
      <c r="IH573"/>
      <c r="II573"/>
      <c r="IJ573"/>
      <c r="IK573"/>
      <c r="IL573"/>
      <c r="IM573"/>
      <c r="IN573"/>
      <c r="IO573"/>
      <c r="IP573"/>
      <c r="IQ573"/>
      <c r="IR573"/>
      <c r="IS573"/>
      <c r="IT573"/>
      <c r="IU573"/>
      <c r="IV573"/>
      <c r="IW573"/>
      <c r="IX573"/>
      <c r="IY573"/>
      <c r="IZ573"/>
      <c r="JA573"/>
      <c r="JB573"/>
      <c r="JC573"/>
      <c r="JD573"/>
      <c r="JE573"/>
      <c r="JF573"/>
      <c r="JG573"/>
      <c r="JH573"/>
      <c r="JI573"/>
      <c r="JJ573"/>
      <c r="JK573"/>
      <c r="JL573"/>
      <c r="JM573"/>
      <c r="JN573"/>
      <c r="JO573"/>
      <c r="JP573"/>
      <c r="JQ573"/>
      <c r="JR573"/>
      <c r="JS573"/>
      <c r="JT573"/>
      <c r="JU573"/>
      <c r="JV573"/>
      <c r="JW573"/>
      <c r="JX573"/>
      <c r="JY573"/>
      <c r="JZ573"/>
      <c r="KA573"/>
      <c r="KB573"/>
      <c r="KC573"/>
      <c r="KD573"/>
      <c r="KE573"/>
      <c r="KF573"/>
      <c r="KG573"/>
      <c r="KH573"/>
      <c r="KI573"/>
      <c r="KJ573"/>
      <c r="KK573"/>
      <c r="KL573"/>
      <c r="KM573"/>
      <c r="KN573"/>
      <c r="KO573"/>
      <c r="KP573"/>
      <c r="KQ573"/>
      <c r="KR573"/>
      <c r="KS573"/>
    </row>
    <row r="574" spans="2:305" hidden="1" x14ac:dyDescent="0.25">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M574"/>
      <c r="CN574"/>
      <c r="CO574"/>
      <c r="CP574"/>
      <c r="CQ574"/>
      <c r="CR574"/>
      <c r="CS574"/>
      <c r="CT574"/>
      <c r="CU574"/>
      <c r="CV574"/>
      <c r="CW574"/>
      <c r="CX574"/>
      <c r="CY574"/>
      <c r="CZ574"/>
      <c r="DA574"/>
      <c r="DB574"/>
      <c r="DC574"/>
      <c r="DD574"/>
      <c r="DE574"/>
      <c r="DF574"/>
      <c r="DG574"/>
      <c r="DH574"/>
      <c r="DI574"/>
      <c r="DJ574"/>
      <c r="DK574"/>
      <c r="DL574"/>
      <c r="DM574"/>
      <c r="DN574"/>
      <c r="DO574"/>
      <c r="DP574"/>
      <c r="DQ574"/>
      <c r="DR574"/>
      <c r="DS574"/>
      <c r="DT574"/>
      <c r="DU574"/>
      <c r="DV574"/>
      <c r="DW574"/>
      <c r="DX574"/>
      <c r="DY574"/>
      <c r="DZ574"/>
      <c r="EA574"/>
      <c r="EB574"/>
      <c r="EC574"/>
      <c r="ED574"/>
      <c r="EE574"/>
      <c r="EF574"/>
      <c r="EG574"/>
      <c r="EH574"/>
      <c r="EI574"/>
      <c r="EJ574"/>
      <c r="EK574"/>
      <c r="EL574"/>
      <c r="EM574"/>
      <c r="EN574"/>
      <c r="EO574"/>
      <c r="EP574"/>
      <c r="EQ574"/>
      <c r="ER574"/>
      <c r="ES574"/>
      <c r="ET574"/>
      <c r="EU574"/>
      <c r="EV574"/>
      <c r="EW574"/>
      <c r="EX574"/>
      <c r="EY574"/>
      <c r="EZ574"/>
      <c r="FA574"/>
      <c r="FB574"/>
      <c r="FC574"/>
      <c r="FD574"/>
      <c r="FE574"/>
      <c r="FF574"/>
      <c r="FG574"/>
      <c r="FH574"/>
      <c r="FI574"/>
      <c r="FJ574"/>
      <c r="FK574"/>
      <c r="FL574"/>
      <c r="FM574"/>
      <c r="FN574"/>
      <c r="FO574"/>
      <c r="FP574"/>
      <c r="FQ574"/>
      <c r="FR574"/>
      <c r="FS574"/>
      <c r="FT574"/>
      <c r="FU574"/>
      <c r="FV574"/>
      <c r="FW574"/>
      <c r="FX574"/>
      <c r="FY574"/>
      <c r="FZ574"/>
      <c r="GA574"/>
      <c r="GB574"/>
      <c r="GC574"/>
      <c r="GD574"/>
      <c r="GE574"/>
      <c r="GF574"/>
      <c r="GG574"/>
      <c r="GH574"/>
      <c r="GI574"/>
      <c r="GJ574"/>
      <c r="GK574"/>
      <c r="GL574"/>
      <c r="GM574"/>
      <c r="GN574"/>
      <c r="GO574"/>
      <c r="GP574"/>
      <c r="GQ574"/>
      <c r="GR574"/>
      <c r="GS574"/>
      <c r="GT574"/>
      <c r="GU574"/>
      <c r="GV574"/>
      <c r="GW574"/>
      <c r="GX574"/>
      <c r="GY574"/>
      <c r="GZ574"/>
      <c r="HA574"/>
      <c r="HB574"/>
      <c r="HC574"/>
      <c r="HD574"/>
      <c r="HE574"/>
      <c r="HF574"/>
      <c r="HG574"/>
      <c r="HH574"/>
      <c r="HI574"/>
      <c r="HJ574"/>
      <c r="HK574"/>
      <c r="HL574"/>
      <c r="HM574"/>
      <c r="HN574"/>
      <c r="HO574"/>
      <c r="HP574"/>
      <c r="HQ574"/>
      <c r="HR574"/>
      <c r="HS574"/>
      <c r="HT574"/>
      <c r="HU574"/>
      <c r="HV574"/>
      <c r="HW574"/>
      <c r="HX574"/>
      <c r="HY574"/>
      <c r="HZ574"/>
      <c r="IA574"/>
      <c r="IB574"/>
      <c r="IC574"/>
      <c r="ID574"/>
      <c r="IE574"/>
      <c r="IF574"/>
      <c r="IG574"/>
      <c r="IH574"/>
      <c r="II574"/>
      <c r="IJ574"/>
      <c r="IK574"/>
      <c r="IL574"/>
      <c r="IM574"/>
      <c r="IN574"/>
      <c r="IO574"/>
      <c r="IP574"/>
      <c r="IQ574"/>
      <c r="IR574"/>
      <c r="IS574"/>
      <c r="IT574"/>
      <c r="IU574"/>
      <c r="IV574"/>
      <c r="IW574"/>
      <c r="IX574"/>
      <c r="IY574"/>
      <c r="IZ574"/>
      <c r="JA574"/>
      <c r="JB574"/>
      <c r="JC574"/>
      <c r="JD574"/>
      <c r="JE574"/>
      <c r="JF574"/>
      <c r="JG574"/>
      <c r="JH574"/>
      <c r="JI574"/>
      <c r="JJ574"/>
      <c r="JK574"/>
      <c r="JL574"/>
      <c r="JM574"/>
      <c r="JN574"/>
      <c r="JO574"/>
      <c r="JP574"/>
      <c r="JQ574"/>
      <c r="JR574"/>
      <c r="JS574"/>
      <c r="JT574"/>
      <c r="JU574"/>
      <c r="JV574"/>
      <c r="JW574"/>
      <c r="JX574"/>
      <c r="JY574"/>
      <c r="JZ574"/>
      <c r="KA574"/>
      <c r="KB574"/>
      <c r="KC574"/>
      <c r="KD574"/>
      <c r="KE574"/>
      <c r="KF574"/>
      <c r="KG574"/>
      <c r="KH574"/>
      <c r="KI574"/>
      <c r="KJ574"/>
      <c r="KK574"/>
      <c r="KL574"/>
      <c r="KM574"/>
      <c r="KN574"/>
      <c r="KO574"/>
      <c r="KP574"/>
      <c r="KQ574"/>
      <c r="KR574"/>
      <c r="KS574"/>
    </row>
    <row r="575" spans="2:305" hidden="1" x14ac:dyDescent="0.2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M575"/>
      <c r="CN575"/>
      <c r="CO575"/>
      <c r="CP575"/>
      <c r="CQ575"/>
      <c r="CR575"/>
      <c r="CS575"/>
      <c r="CT575"/>
      <c r="CU575"/>
      <c r="CV575"/>
      <c r="CW575"/>
      <c r="CX575"/>
      <c r="CY575"/>
      <c r="CZ575"/>
      <c r="DA575"/>
      <c r="DB575"/>
      <c r="DC575"/>
      <c r="DD575"/>
      <c r="DE575"/>
      <c r="DF575"/>
      <c r="DG575"/>
      <c r="DH575"/>
      <c r="DI575"/>
      <c r="DJ575"/>
      <c r="DK575"/>
      <c r="DL575"/>
      <c r="DM575"/>
      <c r="DN575"/>
      <c r="DO575"/>
      <c r="DP575"/>
      <c r="DQ575"/>
      <c r="DR575"/>
      <c r="DS575"/>
      <c r="DT575"/>
      <c r="DU575"/>
      <c r="DV575"/>
      <c r="DW575"/>
      <c r="DX575"/>
      <c r="DY575"/>
      <c r="DZ575"/>
      <c r="EA575"/>
      <c r="EB575"/>
      <c r="EC575"/>
      <c r="ED575"/>
      <c r="EE575"/>
      <c r="EF575"/>
      <c r="EG575"/>
      <c r="EH575"/>
      <c r="EI575"/>
      <c r="EJ575"/>
      <c r="EK575"/>
      <c r="EL575"/>
      <c r="EM575"/>
      <c r="EN575"/>
      <c r="EO575"/>
      <c r="EP575"/>
      <c r="EQ575"/>
      <c r="ER575"/>
      <c r="ES575"/>
      <c r="ET575"/>
      <c r="EU575"/>
      <c r="EV575"/>
      <c r="EW575"/>
      <c r="EX575"/>
      <c r="EY575"/>
      <c r="EZ575"/>
      <c r="FA575"/>
      <c r="FB575"/>
      <c r="FC575"/>
      <c r="FD575"/>
      <c r="FE575"/>
      <c r="FF575"/>
      <c r="FG575"/>
      <c r="FH575"/>
      <c r="FI575"/>
      <c r="FJ575"/>
      <c r="FK575"/>
      <c r="FL575"/>
      <c r="FM575"/>
      <c r="FN575"/>
      <c r="FO575"/>
      <c r="FP575"/>
      <c r="FQ575"/>
      <c r="FR575"/>
      <c r="FS575"/>
      <c r="FT575"/>
      <c r="FU575"/>
      <c r="FV575"/>
      <c r="FW575"/>
      <c r="FX575"/>
      <c r="FY575"/>
      <c r="FZ575"/>
      <c r="GA575"/>
      <c r="GB575"/>
      <c r="GC575"/>
      <c r="GD575"/>
      <c r="GE575"/>
      <c r="GF575"/>
      <c r="GG575"/>
      <c r="GH575"/>
      <c r="GI575"/>
      <c r="GJ575"/>
      <c r="GK575"/>
      <c r="GL575"/>
      <c r="GM575"/>
      <c r="GN575"/>
      <c r="GO575"/>
      <c r="GP575"/>
      <c r="GQ575"/>
      <c r="GR575"/>
      <c r="GS575"/>
      <c r="GT575"/>
      <c r="GU575"/>
      <c r="GV575"/>
      <c r="GW575"/>
      <c r="GX575"/>
      <c r="GY575"/>
      <c r="GZ575"/>
      <c r="HA575"/>
      <c r="HB575"/>
      <c r="HC575"/>
      <c r="HD575"/>
      <c r="HE575"/>
      <c r="HF575"/>
      <c r="HG575"/>
      <c r="HH575"/>
      <c r="HI575"/>
      <c r="HJ575"/>
      <c r="HK575"/>
      <c r="HL575"/>
      <c r="HM575"/>
      <c r="HN575"/>
      <c r="HO575"/>
      <c r="HP575"/>
      <c r="HQ575"/>
      <c r="HR575"/>
      <c r="HS575"/>
      <c r="HT575"/>
      <c r="HU575"/>
      <c r="HV575"/>
      <c r="HW575"/>
      <c r="HX575"/>
      <c r="HY575"/>
      <c r="HZ575"/>
      <c r="IA575"/>
      <c r="IB575"/>
      <c r="IC575"/>
      <c r="ID575"/>
      <c r="IE575"/>
      <c r="IF575"/>
      <c r="IG575"/>
      <c r="IH575"/>
      <c r="II575"/>
      <c r="IJ575"/>
      <c r="IK575"/>
      <c r="IL575"/>
      <c r="IM575"/>
      <c r="IN575"/>
      <c r="IO575"/>
      <c r="IP575"/>
      <c r="IQ575"/>
      <c r="IR575"/>
      <c r="IS575"/>
      <c r="IT575"/>
      <c r="IU575"/>
      <c r="IV575"/>
      <c r="IW575"/>
      <c r="IX575"/>
      <c r="IY575"/>
      <c r="IZ575"/>
      <c r="JA575"/>
      <c r="JB575"/>
      <c r="JC575"/>
      <c r="JD575"/>
      <c r="JE575"/>
      <c r="JF575"/>
      <c r="JG575"/>
      <c r="JH575"/>
      <c r="JI575"/>
      <c r="JJ575"/>
      <c r="JK575"/>
      <c r="JL575"/>
      <c r="JM575"/>
      <c r="JN575"/>
      <c r="JO575"/>
      <c r="JP575"/>
      <c r="JQ575"/>
      <c r="JR575"/>
      <c r="JS575"/>
      <c r="JT575"/>
      <c r="JU575"/>
      <c r="JV575"/>
      <c r="JW575"/>
      <c r="JX575"/>
      <c r="JY575"/>
      <c r="JZ575"/>
      <c r="KA575"/>
      <c r="KB575"/>
      <c r="KC575"/>
      <c r="KD575"/>
      <c r="KE575"/>
      <c r="KF575"/>
      <c r="KG575"/>
      <c r="KH575"/>
      <c r="KI575"/>
      <c r="KJ575"/>
      <c r="KK575"/>
      <c r="KL575"/>
      <c r="KM575"/>
      <c r="KN575"/>
      <c r="KO575"/>
      <c r="KP575"/>
      <c r="KQ575"/>
      <c r="KR575"/>
      <c r="KS575"/>
    </row>
    <row r="576" spans="2:305" hidden="1" x14ac:dyDescent="0.25">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c r="CQ576"/>
      <c r="CR576"/>
      <c r="CS576"/>
      <c r="CT576"/>
      <c r="CU576"/>
      <c r="CV576"/>
      <c r="CW576"/>
      <c r="CX576"/>
      <c r="CY576"/>
      <c r="CZ576"/>
      <c r="DA576"/>
      <c r="DB576"/>
      <c r="DC576"/>
      <c r="DD576"/>
      <c r="DE576"/>
      <c r="DF576"/>
      <c r="DG576"/>
      <c r="DH576"/>
      <c r="DI576"/>
      <c r="DJ576"/>
      <c r="DK576"/>
      <c r="DL576"/>
      <c r="DM576"/>
      <c r="DN576"/>
      <c r="DO576"/>
      <c r="DP576"/>
      <c r="DQ576"/>
      <c r="DR576"/>
      <c r="DS576"/>
      <c r="DT576"/>
      <c r="DU576"/>
      <c r="DV576"/>
      <c r="DW576"/>
      <c r="DX576"/>
      <c r="DY576"/>
      <c r="DZ576"/>
      <c r="EA576"/>
      <c r="EB576"/>
      <c r="EC576"/>
      <c r="ED576"/>
      <c r="EE576"/>
      <c r="EF576"/>
      <c r="EG576"/>
      <c r="EH576"/>
      <c r="EI576"/>
      <c r="EJ576"/>
      <c r="EK576"/>
      <c r="EL576"/>
      <c r="EM576"/>
      <c r="EN576"/>
      <c r="EO576"/>
      <c r="EP576"/>
      <c r="EQ576"/>
      <c r="ER576"/>
      <c r="ES576"/>
      <c r="ET576"/>
      <c r="EU576"/>
      <c r="EV576"/>
      <c r="EW576"/>
      <c r="EX576"/>
      <c r="EY576"/>
      <c r="EZ576"/>
      <c r="FA576"/>
      <c r="FB576"/>
      <c r="FC576"/>
      <c r="FD576"/>
      <c r="FE576"/>
      <c r="FF576"/>
      <c r="FG576"/>
      <c r="FH576"/>
      <c r="FI576"/>
      <c r="FJ576"/>
      <c r="FK576"/>
      <c r="FL576"/>
      <c r="FM576"/>
      <c r="FN576"/>
      <c r="FO576"/>
      <c r="FP576"/>
      <c r="FQ576"/>
      <c r="FR576"/>
      <c r="FS576"/>
      <c r="FT576"/>
      <c r="FU576"/>
      <c r="FV576"/>
      <c r="FW576"/>
      <c r="FX576"/>
      <c r="FY576"/>
      <c r="FZ576"/>
      <c r="GA576"/>
      <c r="GB576"/>
      <c r="GC576"/>
      <c r="GD576"/>
      <c r="GE576"/>
      <c r="GF576"/>
      <c r="GG576"/>
      <c r="GH576"/>
      <c r="GI576"/>
      <c r="GJ576"/>
      <c r="GK576"/>
      <c r="GL576"/>
      <c r="GM576"/>
      <c r="GN576"/>
      <c r="GO576"/>
      <c r="GP576"/>
      <c r="GQ576"/>
      <c r="GR576"/>
      <c r="GS576"/>
      <c r="GT576"/>
      <c r="GU576"/>
      <c r="GV576"/>
      <c r="GW576"/>
      <c r="GX576"/>
      <c r="GY576"/>
      <c r="GZ576"/>
      <c r="HA576"/>
      <c r="HB576"/>
      <c r="HC576"/>
      <c r="HD576"/>
      <c r="HE576"/>
      <c r="HF576"/>
      <c r="HG576"/>
      <c r="HH576"/>
      <c r="HI576"/>
      <c r="HJ576"/>
      <c r="HK576"/>
      <c r="HL576"/>
      <c r="HM576"/>
      <c r="HN576"/>
      <c r="HO576"/>
      <c r="HP576"/>
      <c r="HQ576"/>
      <c r="HR576"/>
      <c r="HS576"/>
      <c r="HT576"/>
      <c r="HU576"/>
      <c r="HV576"/>
      <c r="HW576"/>
      <c r="HX576"/>
      <c r="HY576"/>
      <c r="HZ576"/>
      <c r="IA576"/>
      <c r="IB576"/>
      <c r="IC576"/>
      <c r="ID576"/>
      <c r="IE576"/>
      <c r="IF576"/>
      <c r="IG576"/>
      <c r="IH576"/>
      <c r="II576"/>
      <c r="IJ576"/>
      <c r="IK576"/>
      <c r="IL576"/>
      <c r="IM576"/>
      <c r="IN576"/>
      <c r="IO576"/>
      <c r="IP576"/>
      <c r="IQ576"/>
      <c r="IR576"/>
      <c r="IS576"/>
      <c r="IT576"/>
      <c r="IU576"/>
      <c r="IV576"/>
      <c r="IW576"/>
      <c r="IX576"/>
      <c r="IY576"/>
      <c r="IZ576"/>
      <c r="JA576"/>
      <c r="JB576"/>
      <c r="JC576"/>
      <c r="JD576"/>
      <c r="JE576"/>
      <c r="JF576"/>
      <c r="JG576"/>
      <c r="JH576"/>
      <c r="JI576"/>
      <c r="JJ576"/>
      <c r="JK576"/>
      <c r="JL576"/>
      <c r="JM576"/>
      <c r="JN576"/>
      <c r="JO576"/>
      <c r="JP576"/>
      <c r="JQ576"/>
      <c r="JR576"/>
      <c r="JS576"/>
      <c r="JT576"/>
      <c r="JU576"/>
      <c r="JV576"/>
      <c r="JW576"/>
      <c r="JX576"/>
      <c r="JY576"/>
      <c r="JZ576"/>
      <c r="KA576"/>
      <c r="KB576"/>
      <c r="KC576"/>
      <c r="KD576"/>
      <c r="KE576"/>
      <c r="KF576"/>
      <c r="KG576"/>
      <c r="KH576"/>
      <c r="KI576"/>
      <c r="KJ576"/>
      <c r="KK576"/>
      <c r="KL576"/>
      <c r="KM576"/>
      <c r="KN576"/>
      <c r="KO576"/>
      <c r="KP576"/>
      <c r="KQ576"/>
      <c r="KR576"/>
      <c r="KS576"/>
    </row>
    <row r="577" spans="2:305" hidden="1" x14ac:dyDescent="0.25">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M577"/>
      <c r="CN577"/>
      <c r="CO577"/>
      <c r="CP577"/>
      <c r="CQ577"/>
      <c r="CR577"/>
      <c r="CS577"/>
      <c r="CT577"/>
      <c r="CU577"/>
      <c r="CV577"/>
      <c r="CW577"/>
      <c r="CX577"/>
      <c r="CY577"/>
      <c r="CZ577"/>
      <c r="DA577"/>
      <c r="DB577"/>
      <c r="DC577"/>
      <c r="DD577"/>
      <c r="DE577"/>
      <c r="DF577"/>
      <c r="DG577"/>
      <c r="DH577"/>
      <c r="DI577"/>
      <c r="DJ577"/>
      <c r="DK577"/>
      <c r="DL577"/>
      <c r="DM577"/>
      <c r="DN577"/>
      <c r="DO577"/>
      <c r="DP577"/>
      <c r="DQ577"/>
      <c r="DR577"/>
      <c r="DS577"/>
      <c r="DT577"/>
      <c r="DU577"/>
      <c r="DV577"/>
      <c r="DW577"/>
      <c r="DX577"/>
      <c r="DY577"/>
      <c r="DZ577"/>
      <c r="EA577"/>
      <c r="EB577"/>
      <c r="EC577"/>
      <c r="ED577"/>
      <c r="EE577"/>
      <c r="EF577"/>
      <c r="EG577"/>
      <c r="EH577"/>
      <c r="EI577"/>
      <c r="EJ577"/>
      <c r="EK577"/>
      <c r="EL577"/>
      <c r="EM577"/>
      <c r="EN577"/>
      <c r="EO577"/>
      <c r="EP577"/>
      <c r="EQ577"/>
      <c r="ER577"/>
      <c r="ES577"/>
      <c r="ET577"/>
      <c r="EU577"/>
      <c r="EV577"/>
      <c r="EW577"/>
      <c r="EX577"/>
      <c r="EY577"/>
      <c r="EZ577"/>
      <c r="FA577"/>
      <c r="FB577"/>
      <c r="FC577"/>
      <c r="FD577"/>
      <c r="FE577"/>
      <c r="FF577"/>
      <c r="FG577"/>
      <c r="FH577"/>
      <c r="FI577"/>
      <c r="FJ577"/>
      <c r="FK577"/>
      <c r="FL577"/>
      <c r="FM577"/>
      <c r="FN577"/>
      <c r="FO577"/>
      <c r="FP577"/>
      <c r="FQ577"/>
      <c r="FR577"/>
      <c r="FS577"/>
      <c r="FT577"/>
      <c r="FU577"/>
      <c r="FV577"/>
      <c r="FW577"/>
      <c r="FX577"/>
      <c r="FY577"/>
      <c r="FZ577"/>
      <c r="GA577"/>
      <c r="GB577"/>
      <c r="GC577"/>
      <c r="GD577"/>
      <c r="GE577"/>
      <c r="GF577"/>
      <c r="GG577"/>
      <c r="GH577"/>
      <c r="GI577"/>
      <c r="GJ577"/>
      <c r="GK577"/>
      <c r="GL577"/>
      <c r="GM577"/>
      <c r="GN577"/>
      <c r="GO577"/>
      <c r="GP577"/>
      <c r="GQ577"/>
      <c r="GR577"/>
      <c r="GS577"/>
      <c r="GT577"/>
      <c r="GU577"/>
      <c r="GV577"/>
      <c r="GW577"/>
      <c r="GX577"/>
      <c r="GY577"/>
      <c r="GZ577"/>
      <c r="HA577"/>
      <c r="HB577"/>
      <c r="HC577"/>
      <c r="HD577"/>
      <c r="HE577"/>
      <c r="HF577"/>
      <c r="HG577"/>
      <c r="HH577"/>
      <c r="HI577"/>
      <c r="HJ577"/>
      <c r="HK577"/>
      <c r="HL577"/>
      <c r="HM577"/>
      <c r="HN577"/>
      <c r="HO577"/>
      <c r="HP577"/>
      <c r="HQ577"/>
      <c r="HR577"/>
      <c r="HS577"/>
      <c r="HT577"/>
      <c r="HU577"/>
      <c r="HV577"/>
      <c r="HW577"/>
      <c r="HX577"/>
      <c r="HY577"/>
      <c r="HZ577"/>
      <c r="IA577"/>
      <c r="IB577"/>
      <c r="IC577"/>
      <c r="ID577"/>
      <c r="IE577"/>
      <c r="IF577"/>
      <c r="IG577"/>
      <c r="IH577"/>
      <c r="II577"/>
      <c r="IJ577"/>
      <c r="IK577"/>
      <c r="IL577"/>
      <c r="IM577"/>
      <c r="IN577"/>
      <c r="IO577"/>
      <c r="IP577"/>
      <c r="IQ577"/>
      <c r="IR577"/>
      <c r="IS577"/>
      <c r="IT577"/>
      <c r="IU577"/>
      <c r="IV577"/>
      <c r="IW577"/>
      <c r="IX577"/>
      <c r="IY577"/>
      <c r="IZ577"/>
      <c r="JA577"/>
      <c r="JB577"/>
      <c r="JC577"/>
      <c r="JD577"/>
      <c r="JE577"/>
      <c r="JF577"/>
      <c r="JG577"/>
      <c r="JH577"/>
      <c r="JI577"/>
      <c r="JJ577"/>
      <c r="JK577"/>
      <c r="JL577"/>
      <c r="JM577"/>
      <c r="JN577"/>
      <c r="JO577"/>
      <c r="JP577"/>
      <c r="JQ577"/>
      <c r="JR577"/>
      <c r="JS577"/>
      <c r="JT577"/>
      <c r="JU577"/>
      <c r="JV577"/>
      <c r="JW577"/>
      <c r="JX577"/>
      <c r="JY577"/>
      <c r="JZ577"/>
      <c r="KA577"/>
      <c r="KB577"/>
      <c r="KC577"/>
      <c r="KD577"/>
      <c r="KE577"/>
      <c r="KF577"/>
      <c r="KG577"/>
      <c r="KH577"/>
      <c r="KI577"/>
      <c r="KJ577"/>
      <c r="KK577"/>
      <c r="KL577"/>
      <c r="KM577"/>
      <c r="KN577"/>
      <c r="KO577"/>
      <c r="KP577"/>
      <c r="KQ577"/>
      <c r="KR577"/>
      <c r="KS577"/>
    </row>
    <row r="578" spans="2:305" hidden="1" x14ac:dyDescent="0.25">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M578"/>
      <c r="CN578"/>
      <c r="CO578"/>
      <c r="CP578"/>
      <c r="CQ578"/>
      <c r="CR578"/>
      <c r="CS578"/>
      <c r="CT578"/>
      <c r="CU578"/>
      <c r="CV578"/>
      <c r="CW578"/>
      <c r="CX578"/>
      <c r="CY578"/>
      <c r="CZ578"/>
      <c r="DA578"/>
      <c r="DB578"/>
      <c r="DC578"/>
      <c r="DD578"/>
      <c r="DE578"/>
      <c r="DF578"/>
      <c r="DG578"/>
      <c r="DH578"/>
      <c r="DI578"/>
      <c r="DJ578"/>
      <c r="DK578"/>
      <c r="DL578"/>
      <c r="DM578"/>
      <c r="DN578"/>
      <c r="DO578"/>
      <c r="DP578"/>
      <c r="DQ578"/>
      <c r="DR578"/>
      <c r="DS578"/>
      <c r="DT578"/>
      <c r="DU578"/>
      <c r="DV578"/>
      <c r="DW578"/>
      <c r="DX578"/>
      <c r="DY578"/>
      <c r="DZ578"/>
      <c r="EA578"/>
      <c r="EB578"/>
      <c r="EC578"/>
      <c r="ED578"/>
      <c r="EE578"/>
      <c r="EF578"/>
      <c r="EG578"/>
      <c r="EH578"/>
      <c r="EI578"/>
      <c r="EJ578"/>
      <c r="EK578"/>
      <c r="EL578"/>
      <c r="EM578"/>
      <c r="EN578"/>
      <c r="EO578"/>
      <c r="EP578"/>
      <c r="EQ578"/>
      <c r="ER578"/>
      <c r="ES578"/>
      <c r="ET578"/>
      <c r="EU578"/>
      <c r="EV578"/>
      <c r="EW578"/>
      <c r="EX578"/>
      <c r="EY578"/>
      <c r="EZ578"/>
      <c r="FA578"/>
      <c r="FB578"/>
      <c r="FC578"/>
      <c r="FD578"/>
      <c r="FE578"/>
      <c r="FF578"/>
      <c r="FG578"/>
      <c r="FH578"/>
      <c r="FI578"/>
      <c r="FJ578"/>
      <c r="FK578"/>
      <c r="FL578"/>
      <c r="FM578"/>
      <c r="FN578"/>
      <c r="FO578"/>
      <c r="FP578"/>
      <c r="FQ578"/>
      <c r="FR578"/>
      <c r="FS578"/>
      <c r="FT578"/>
      <c r="FU578"/>
      <c r="FV578"/>
      <c r="FW578"/>
      <c r="FX578"/>
      <c r="FY578"/>
      <c r="FZ578"/>
      <c r="GA578"/>
      <c r="GB578"/>
      <c r="GC578"/>
      <c r="GD578"/>
      <c r="GE578"/>
      <c r="GF578"/>
      <c r="GG578"/>
      <c r="GH578"/>
      <c r="GI578"/>
      <c r="GJ578"/>
      <c r="GK578"/>
      <c r="GL578"/>
      <c r="GM578"/>
      <c r="GN578"/>
      <c r="GO578"/>
      <c r="GP578"/>
      <c r="GQ578"/>
      <c r="GR578"/>
      <c r="GS578"/>
      <c r="GT578"/>
      <c r="GU578"/>
      <c r="GV578"/>
      <c r="GW578"/>
      <c r="GX578"/>
      <c r="GY578"/>
      <c r="GZ578"/>
      <c r="HA578"/>
      <c r="HB578"/>
      <c r="HC578"/>
      <c r="HD578"/>
      <c r="HE578"/>
      <c r="HF578"/>
      <c r="HG578"/>
      <c r="HH578"/>
      <c r="HI578"/>
      <c r="HJ578"/>
      <c r="HK578"/>
      <c r="HL578"/>
      <c r="HM578"/>
      <c r="HN578"/>
      <c r="HO578"/>
      <c r="HP578"/>
      <c r="HQ578"/>
      <c r="HR578"/>
      <c r="HS578"/>
      <c r="HT578"/>
      <c r="HU578"/>
      <c r="HV578"/>
      <c r="HW578"/>
      <c r="HX578"/>
      <c r="HY578"/>
      <c r="HZ578"/>
      <c r="IA578"/>
      <c r="IB578"/>
      <c r="IC578"/>
      <c r="ID578"/>
      <c r="IE578"/>
      <c r="IF578"/>
      <c r="IG578"/>
      <c r="IH578"/>
      <c r="II578"/>
      <c r="IJ578"/>
      <c r="IK578"/>
      <c r="IL578"/>
      <c r="IM578"/>
      <c r="IN578"/>
      <c r="IO578"/>
      <c r="IP578"/>
      <c r="IQ578"/>
      <c r="IR578"/>
      <c r="IS578"/>
      <c r="IT578"/>
      <c r="IU578"/>
      <c r="IV578"/>
      <c r="IW578"/>
      <c r="IX578"/>
      <c r="IY578"/>
      <c r="IZ578"/>
      <c r="JA578"/>
      <c r="JB578"/>
      <c r="JC578"/>
      <c r="JD578"/>
      <c r="JE578"/>
      <c r="JF578"/>
      <c r="JG578"/>
      <c r="JH578"/>
      <c r="JI578"/>
      <c r="JJ578"/>
      <c r="JK578"/>
      <c r="JL578"/>
      <c r="JM578"/>
      <c r="JN578"/>
      <c r="JO578"/>
      <c r="JP578"/>
      <c r="JQ578"/>
      <c r="JR578"/>
      <c r="JS578"/>
      <c r="JT578"/>
      <c r="JU578"/>
      <c r="JV578"/>
      <c r="JW578"/>
      <c r="JX578"/>
      <c r="JY578"/>
      <c r="JZ578"/>
      <c r="KA578"/>
      <c r="KB578"/>
      <c r="KC578"/>
      <c r="KD578"/>
      <c r="KE578"/>
      <c r="KF578"/>
      <c r="KG578"/>
      <c r="KH578"/>
      <c r="KI578"/>
      <c r="KJ578"/>
      <c r="KK578"/>
      <c r="KL578"/>
      <c r="KM578"/>
      <c r="KN578"/>
      <c r="KO578"/>
      <c r="KP578"/>
      <c r="KQ578"/>
      <c r="KR578"/>
      <c r="KS578"/>
    </row>
    <row r="579" spans="2:305" hidden="1" x14ac:dyDescent="0.25">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M579"/>
      <c r="CN579"/>
      <c r="CO579"/>
      <c r="CP579"/>
      <c r="CQ579"/>
      <c r="CR579"/>
      <c r="CS579"/>
      <c r="CT579"/>
      <c r="CU579"/>
      <c r="CV579"/>
      <c r="CW579"/>
      <c r="CX579"/>
      <c r="CY579"/>
      <c r="CZ579"/>
      <c r="DA579"/>
      <c r="DB579"/>
      <c r="DC579"/>
      <c r="DD579"/>
      <c r="DE579"/>
      <c r="DF579"/>
      <c r="DG579"/>
      <c r="DH579"/>
      <c r="DI579"/>
      <c r="DJ579"/>
      <c r="DK579"/>
      <c r="DL579"/>
      <c r="DM579"/>
      <c r="DN579"/>
      <c r="DO579"/>
      <c r="DP579"/>
      <c r="DQ579"/>
      <c r="DR579"/>
      <c r="DS579"/>
      <c r="DT579"/>
      <c r="DU579"/>
      <c r="DV579"/>
      <c r="DW579"/>
      <c r="DX579"/>
      <c r="DY579"/>
      <c r="DZ579"/>
      <c r="EA579"/>
      <c r="EB579"/>
      <c r="EC579"/>
      <c r="ED579"/>
      <c r="EE579"/>
      <c r="EF579"/>
      <c r="EG579"/>
      <c r="EH579"/>
      <c r="EI579"/>
      <c r="EJ579"/>
      <c r="EK579"/>
      <c r="EL579"/>
      <c r="EM579"/>
      <c r="EN579"/>
      <c r="EO579"/>
      <c r="EP579"/>
      <c r="EQ579"/>
      <c r="ER579"/>
      <c r="ES579"/>
      <c r="ET579"/>
      <c r="EU579"/>
      <c r="EV579"/>
      <c r="EW579"/>
      <c r="EX579"/>
      <c r="EY579"/>
      <c r="EZ579"/>
      <c r="FA579"/>
      <c r="FB579"/>
      <c r="FC579"/>
      <c r="FD579"/>
      <c r="FE579"/>
      <c r="FF579"/>
      <c r="FG579"/>
      <c r="FH579"/>
      <c r="FI579"/>
      <c r="FJ579"/>
      <c r="FK579"/>
      <c r="FL579"/>
      <c r="FM579"/>
      <c r="FN579"/>
      <c r="FO579"/>
      <c r="FP579"/>
      <c r="FQ579"/>
      <c r="FR579"/>
      <c r="FS579"/>
      <c r="FT579"/>
      <c r="FU579"/>
      <c r="FV579"/>
      <c r="FW579"/>
      <c r="FX579"/>
      <c r="FY579"/>
      <c r="FZ579"/>
      <c r="GA579"/>
      <c r="GB579"/>
      <c r="GC579"/>
      <c r="GD579"/>
      <c r="GE579"/>
      <c r="GF579"/>
      <c r="GG579"/>
      <c r="GH579"/>
      <c r="GI579"/>
      <c r="GJ579"/>
      <c r="GK579"/>
      <c r="GL579"/>
      <c r="GM579"/>
      <c r="GN579"/>
      <c r="GO579"/>
      <c r="GP579"/>
      <c r="GQ579"/>
      <c r="GR579"/>
      <c r="GS579"/>
      <c r="GT579"/>
      <c r="GU579"/>
      <c r="GV579"/>
      <c r="GW579"/>
      <c r="GX579"/>
      <c r="GY579"/>
      <c r="GZ579"/>
      <c r="HA579"/>
      <c r="HB579"/>
      <c r="HC579"/>
      <c r="HD579"/>
      <c r="HE579"/>
      <c r="HF579"/>
      <c r="HG579"/>
      <c r="HH579"/>
      <c r="HI579"/>
      <c r="HJ579"/>
      <c r="HK579"/>
      <c r="HL579"/>
      <c r="HM579"/>
      <c r="HN579"/>
      <c r="HO579"/>
      <c r="HP579"/>
      <c r="HQ579"/>
      <c r="HR579"/>
      <c r="HS579"/>
      <c r="HT579"/>
      <c r="HU579"/>
      <c r="HV579"/>
      <c r="HW579"/>
      <c r="HX579"/>
      <c r="HY579"/>
      <c r="HZ579"/>
      <c r="IA579"/>
      <c r="IB579"/>
      <c r="IC579"/>
      <c r="ID579"/>
      <c r="IE579"/>
      <c r="IF579"/>
      <c r="IG579"/>
      <c r="IH579"/>
      <c r="II579"/>
      <c r="IJ579"/>
      <c r="IK579"/>
      <c r="IL579"/>
      <c r="IM579"/>
      <c r="IN579"/>
      <c r="IO579"/>
      <c r="IP579"/>
      <c r="IQ579"/>
      <c r="IR579"/>
      <c r="IS579"/>
      <c r="IT579"/>
      <c r="IU579"/>
      <c r="IV579"/>
      <c r="IW579"/>
      <c r="IX579"/>
      <c r="IY579"/>
      <c r="IZ579"/>
      <c r="JA579"/>
      <c r="JB579"/>
      <c r="JC579"/>
      <c r="JD579"/>
      <c r="JE579"/>
      <c r="JF579"/>
      <c r="JG579"/>
      <c r="JH579"/>
      <c r="JI579"/>
      <c r="JJ579"/>
      <c r="JK579"/>
      <c r="JL579"/>
      <c r="JM579"/>
      <c r="JN579"/>
      <c r="JO579"/>
      <c r="JP579"/>
      <c r="JQ579"/>
      <c r="JR579"/>
      <c r="JS579"/>
      <c r="JT579"/>
      <c r="JU579"/>
      <c r="JV579"/>
      <c r="JW579"/>
      <c r="JX579"/>
      <c r="JY579"/>
      <c r="JZ579"/>
      <c r="KA579"/>
      <c r="KB579"/>
      <c r="KC579"/>
      <c r="KD579"/>
      <c r="KE579"/>
      <c r="KF579"/>
      <c r="KG579"/>
      <c r="KH579"/>
      <c r="KI579"/>
      <c r="KJ579"/>
      <c r="KK579"/>
      <c r="KL579"/>
      <c r="KM579"/>
      <c r="KN579"/>
      <c r="KO579"/>
      <c r="KP579"/>
      <c r="KQ579"/>
      <c r="KR579"/>
      <c r="KS579"/>
    </row>
    <row r="580" spans="2:305" hidden="1" x14ac:dyDescent="0.25">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M580"/>
      <c r="CN580"/>
      <c r="CO580"/>
      <c r="CP580"/>
      <c r="CQ580"/>
      <c r="CR580"/>
      <c r="CS580"/>
      <c r="CT580"/>
      <c r="CU580"/>
      <c r="CV580"/>
      <c r="CW580"/>
      <c r="CX580"/>
      <c r="CY580"/>
      <c r="CZ580"/>
      <c r="DA580"/>
      <c r="DB580"/>
      <c r="DC580"/>
      <c r="DD580"/>
      <c r="DE580"/>
      <c r="DF580"/>
      <c r="DG580"/>
      <c r="DH580"/>
      <c r="DI580"/>
      <c r="DJ580"/>
      <c r="DK580"/>
      <c r="DL580"/>
      <c r="DM580"/>
      <c r="DN580"/>
      <c r="DO580"/>
      <c r="DP580"/>
      <c r="DQ580"/>
      <c r="DR580"/>
      <c r="DS580"/>
      <c r="DT580"/>
      <c r="DU580"/>
      <c r="DV580"/>
      <c r="DW580"/>
      <c r="DX580"/>
      <c r="DY580"/>
      <c r="DZ580"/>
      <c r="EA580"/>
      <c r="EB580"/>
      <c r="EC580"/>
      <c r="ED580"/>
      <c r="EE580"/>
      <c r="EF580"/>
      <c r="EG580"/>
      <c r="EH580"/>
      <c r="EI580"/>
      <c r="EJ580"/>
      <c r="EK580"/>
      <c r="EL580"/>
      <c r="EM580"/>
      <c r="EN580"/>
      <c r="EO580"/>
      <c r="EP580"/>
      <c r="EQ580"/>
      <c r="ER580"/>
      <c r="ES580"/>
      <c r="ET580"/>
      <c r="EU580"/>
      <c r="EV580"/>
      <c r="EW580"/>
      <c r="EX580"/>
      <c r="EY580"/>
      <c r="EZ580"/>
      <c r="FA580"/>
      <c r="FB580"/>
      <c r="FC580"/>
      <c r="FD580"/>
      <c r="FE580"/>
      <c r="FF580"/>
      <c r="FG580"/>
      <c r="FH580"/>
      <c r="FI580"/>
      <c r="FJ580"/>
      <c r="FK580"/>
      <c r="FL580"/>
      <c r="FM580"/>
      <c r="FN580"/>
      <c r="FO580"/>
      <c r="FP580"/>
      <c r="FQ580"/>
      <c r="FR580"/>
      <c r="FS580"/>
      <c r="FT580"/>
      <c r="FU580"/>
      <c r="FV580"/>
      <c r="FW580"/>
      <c r="FX580"/>
      <c r="FY580"/>
      <c r="FZ580"/>
      <c r="GA580"/>
      <c r="GB580"/>
      <c r="GC580"/>
      <c r="GD580"/>
      <c r="GE580"/>
      <c r="GF580"/>
      <c r="GG580"/>
      <c r="GH580"/>
      <c r="GI580"/>
      <c r="GJ580"/>
      <c r="GK580"/>
      <c r="GL580"/>
      <c r="GM580"/>
      <c r="GN580"/>
      <c r="GO580"/>
      <c r="GP580"/>
      <c r="GQ580"/>
      <c r="GR580"/>
      <c r="GS580"/>
      <c r="GT580"/>
      <c r="GU580"/>
      <c r="GV580"/>
      <c r="GW580"/>
      <c r="GX580"/>
      <c r="GY580"/>
      <c r="GZ580"/>
      <c r="HA580"/>
      <c r="HB580"/>
      <c r="HC580"/>
      <c r="HD580"/>
      <c r="HE580"/>
      <c r="HF580"/>
      <c r="HG580"/>
      <c r="HH580"/>
      <c r="HI580"/>
      <c r="HJ580"/>
      <c r="HK580"/>
      <c r="HL580"/>
      <c r="HM580"/>
      <c r="HN580"/>
      <c r="HO580"/>
      <c r="HP580"/>
      <c r="HQ580"/>
      <c r="HR580"/>
      <c r="HS580"/>
      <c r="HT580"/>
      <c r="HU580"/>
      <c r="HV580"/>
      <c r="HW580"/>
      <c r="HX580"/>
      <c r="HY580"/>
      <c r="HZ580"/>
      <c r="IA580"/>
      <c r="IB580"/>
      <c r="IC580"/>
      <c r="ID580"/>
      <c r="IE580"/>
      <c r="IF580"/>
      <c r="IG580"/>
      <c r="IH580"/>
      <c r="II580"/>
      <c r="IJ580"/>
      <c r="IK580"/>
      <c r="IL580"/>
      <c r="IM580"/>
      <c r="IN580"/>
      <c r="IO580"/>
      <c r="IP580"/>
      <c r="IQ580"/>
      <c r="IR580"/>
      <c r="IS580"/>
      <c r="IT580"/>
      <c r="IU580"/>
      <c r="IV580"/>
      <c r="IW580"/>
      <c r="IX580"/>
      <c r="IY580"/>
      <c r="IZ580"/>
      <c r="JA580"/>
      <c r="JB580"/>
      <c r="JC580"/>
      <c r="JD580"/>
      <c r="JE580"/>
      <c r="JF580"/>
      <c r="JG580"/>
      <c r="JH580"/>
      <c r="JI580"/>
      <c r="JJ580"/>
      <c r="JK580"/>
      <c r="JL580"/>
      <c r="JM580"/>
      <c r="JN580"/>
      <c r="JO580"/>
      <c r="JP580"/>
      <c r="JQ580"/>
      <c r="JR580"/>
      <c r="JS580"/>
      <c r="JT580"/>
      <c r="JU580"/>
      <c r="JV580"/>
      <c r="JW580"/>
      <c r="JX580"/>
      <c r="JY580"/>
      <c r="JZ580"/>
      <c r="KA580"/>
      <c r="KB580"/>
      <c r="KC580"/>
      <c r="KD580"/>
      <c r="KE580"/>
      <c r="KF580"/>
      <c r="KG580"/>
      <c r="KH580"/>
      <c r="KI580"/>
      <c r="KJ580"/>
      <c r="KK580"/>
      <c r="KL580"/>
      <c r="KM580"/>
      <c r="KN580"/>
      <c r="KO580"/>
      <c r="KP580"/>
      <c r="KQ580"/>
      <c r="KR580"/>
      <c r="KS580"/>
    </row>
    <row r="581" spans="2:305" hidden="1" x14ac:dyDescent="0.25">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M581"/>
      <c r="CN581"/>
      <c r="CO581"/>
      <c r="CP581"/>
      <c r="CQ581"/>
      <c r="CR581"/>
      <c r="CS581"/>
      <c r="CT581"/>
      <c r="CU581"/>
      <c r="CV581"/>
      <c r="CW581"/>
      <c r="CX581"/>
      <c r="CY581"/>
      <c r="CZ581"/>
      <c r="DA581"/>
      <c r="DB581"/>
      <c r="DC581"/>
      <c r="DD581"/>
      <c r="DE581"/>
      <c r="DF581"/>
      <c r="DG581"/>
      <c r="DH581"/>
      <c r="DI581"/>
      <c r="DJ581"/>
      <c r="DK581"/>
      <c r="DL581"/>
      <c r="DM581"/>
      <c r="DN581"/>
      <c r="DO581"/>
      <c r="DP581"/>
      <c r="DQ581"/>
      <c r="DR581"/>
      <c r="DS581"/>
      <c r="DT581"/>
      <c r="DU581"/>
      <c r="DV581"/>
      <c r="DW581"/>
      <c r="DX581"/>
      <c r="DY581"/>
      <c r="DZ581"/>
      <c r="EA581"/>
      <c r="EB581"/>
      <c r="EC581"/>
      <c r="ED581"/>
      <c r="EE581"/>
      <c r="EF581"/>
      <c r="EG581"/>
      <c r="EH581"/>
      <c r="EI581"/>
      <c r="EJ581"/>
      <c r="EK581"/>
      <c r="EL581"/>
      <c r="EM581"/>
      <c r="EN581"/>
      <c r="EO581"/>
      <c r="EP581"/>
      <c r="EQ581"/>
      <c r="ER581"/>
      <c r="ES581"/>
      <c r="ET581"/>
      <c r="EU581"/>
      <c r="EV581"/>
      <c r="EW581"/>
      <c r="EX581"/>
      <c r="EY581"/>
      <c r="EZ581"/>
      <c r="FA581"/>
      <c r="FB581"/>
      <c r="FC581"/>
      <c r="FD581"/>
      <c r="FE581"/>
      <c r="FF581"/>
      <c r="FG581"/>
      <c r="FH581"/>
      <c r="FI581"/>
      <c r="FJ581"/>
      <c r="FK581"/>
      <c r="FL581"/>
      <c r="FM581"/>
      <c r="FN581"/>
      <c r="FO581"/>
      <c r="FP581"/>
      <c r="FQ581"/>
      <c r="FR581"/>
      <c r="FS581"/>
      <c r="FT581"/>
      <c r="FU581"/>
      <c r="FV581"/>
      <c r="FW581"/>
      <c r="FX581"/>
      <c r="FY581"/>
      <c r="FZ581"/>
      <c r="GA581"/>
      <c r="GB581"/>
      <c r="GC581"/>
      <c r="GD581"/>
      <c r="GE581"/>
      <c r="GF581"/>
      <c r="GG581"/>
      <c r="GH581"/>
      <c r="GI581"/>
      <c r="GJ581"/>
      <c r="GK581"/>
      <c r="GL581"/>
      <c r="GM581"/>
      <c r="GN581"/>
      <c r="GO581"/>
      <c r="GP581"/>
      <c r="GQ581"/>
      <c r="GR581"/>
      <c r="GS581"/>
      <c r="GT581"/>
      <c r="GU581"/>
      <c r="GV581"/>
      <c r="GW581"/>
      <c r="GX581"/>
      <c r="GY581"/>
      <c r="GZ581"/>
      <c r="HA581"/>
      <c r="HB581"/>
      <c r="HC581"/>
      <c r="HD581"/>
      <c r="HE581"/>
      <c r="HF581"/>
      <c r="HG581"/>
      <c r="HH581"/>
      <c r="HI581"/>
      <c r="HJ581"/>
      <c r="HK581"/>
      <c r="HL581"/>
      <c r="HM581"/>
      <c r="HN581"/>
      <c r="HO581"/>
      <c r="HP581"/>
      <c r="HQ581"/>
      <c r="HR581"/>
      <c r="HS581"/>
      <c r="HT581"/>
      <c r="HU581"/>
      <c r="HV581"/>
      <c r="HW581"/>
      <c r="HX581"/>
      <c r="HY581"/>
      <c r="HZ581"/>
      <c r="IA581"/>
      <c r="IB581"/>
      <c r="IC581"/>
      <c r="ID581"/>
      <c r="IE581"/>
      <c r="IF581"/>
      <c r="IG581"/>
      <c r="IH581"/>
      <c r="II581"/>
      <c r="IJ581"/>
      <c r="IK581"/>
      <c r="IL581"/>
      <c r="IM581"/>
      <c r="IN581"/>
      <c r="IO581"/>
      <c r="IP581"/>
      <c r="IQ581"/>
      <c r="IR581"/>
      <c r="IS581"/>
      <c r="IT581"/>
      <c r="IU581"/>
      <c r="IV581"/>
      <c r="IW581"/>
      <c r="IX581"/>
      <c r="IY581"/>
      <c r="IZ581"/>
      <c r="JA581"/>
      <c r="JB581"/>
      <c r="JC581"/>
      <c r="JD581"/>
      <c r="JE581"/>
      <c r="JF581"/>
      <c r="JG581"/>
      <c r="JH581"/>
      <c r="JI581"/>
      <c r="JJ581"/>
      <c r="JK581"/>
      <c r="JL581"/>
      <c r="JM581"/>
      <c r="JN581"/>
      <c r="JO581"/>
      <c r="JP581"/>
      <c r="JQ581"/>
      <c r="JR581"/>
      <c r="JS581"/>
      <c r="JT581"/>
      <c r="JU581"/>
      <c r="JV581"/>
      <c r="JW581"/>
      <c r="JX581"/>
      <c r="JY581"/>
      <c r="JZ581"/>
      <c r="KA581"/>
      <c r="KB581"/>
      <c r="KC581"/>
      <c r="KD581"/>
      <c r="KE581"/>
      <c r="KF581"/>
      <c r="KG581"/>
      <c r="KH581"/>
      <c r="KI581"/>
      <c r="KJ581"/>
      <c r="KK581"/>
      <c r="KL581"/>
      <c r="KM581"/>
      <c r="KN581"/>
      <c r="KO581"/>
      <c r="KP581"/>
      <c r="KQ581"/>
      <c r="KR581"/>
      <c r="KS581"/>
    </row>
    <row r="582" spans="2:305" hidden="1" x14ac:dyDescent="0.25">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M582"/>
      <c r="CN582"/>
      <c r="CO582"/>
      <c r="CP582"/>
      <c r="CQ582"/>
      <c r="CR582"/>
      <c r="CS582"/>
      <c r="CT582"/>
      <c r="CU582"/>
      <c r="CV582"/>
      <c r="CW582"/>
      <c r="CX582"/>
      <c r="CY582"/>
      <c r="CZ582"/>
      <c r="DA582"/>
      <c r="DB582"/>
      <c r="DC582"/>
      <c r="DD582"/>
      <c r="DE582"/>
      <c r="DF582"/>
      <c r="DG582"/>
      <c r="DH582"/>
      <c r="DI582"/>
      <c r="DJ582"/>
      <c r="DK582"/>
      <c r="DL582"/>
      <c r="DM582"/>
      <c r="DN582"/>
      <c r="DO582"/>
      <c r="DP582"/>
      <c r="DQ582"/>
      <c r="DR582"/>
      <c r="DS582"/>
      <c r="DT582"/>
      <c r="DU582"/>
      <c r="DV582"/>
      <c r="DW582"/>
      <c r="DX582"/>
      <c r="DY582"/>
      <c r="DZ582"/>
      <c r="EA582"/>
      <c r="EB582"/>
      <c r="EC582"/>
      <c r="ED582"/>
      <c r="EE582"/>
      <c r="EF582"/>
      <c r="EG582"/>
      <c r="EH582"/>
      <c r="EI582"/>
      <c r="EJ582"/>
      <c r="EK582"/>
      <c r="EL582"/>
      <c r="EM582"/>
      <c r="EN582"/>
      <c r="EO582"/>
      <c r="EP582"/>
      <c r="EQ582"/>
      <c r="ER582"/>
      <c r="ES582"/>
      <c r="ET582"/>
      <c r="EU582"/>
      <c r="EV582"/>
      <c r="EW582"/>
      <c r="EX582"/>
      <c r="EY582"/>
      <c r="EZ582"/>
      <c r="FA582"/>
      <c r="FB582"/>
      <c r="FC582"/>
      <c r="FD582"/>
      <c r="FE582"/>
      <c r="FF582"/>
      <c r="FG582"/>
      <c r="FH582"/>
      <c r="FI582"/>
      <c r="FJ582"/>
      <c r="FK582"/>
      <c r="FL582"/>
      <c r="FM582"/>
      <c r="FN582"/>
      <c r="FO582"/>
      <c r="FP582"/>
      <c r="FQ582"/>
      <c r="FR582"/>
      <c r="FS582"/>
      <c r="FT582"/>
      <c r="FU582"/>
      <c r="FV582"/>
      <c r="FW582"/>
      <c r="FX582"/>
      <c r="FY582"/>
      <c r="FZ582"/>
      <c r="GA582"/>
      <c r="GB582"/>
      <c r="GC582"/>
      <c r="GD582"/>
      <c r="GE582"/>
      <c r="GF582"/>
      <c r="GG582"/>
      <c r="GH582"/>
      <c r="GI582"/>
      <c r="GJ582"/>
      <c r="GK582"/>
      <c r="GL582"/>
      <c r="GM582"/>
      <c r="GN582"/>
      <c r="GO582"/>
      <c r="GP582"/>
      <c r="GQ582"/>
      <c r="GR582"/>
      <c r="GS582"/>
      <c r="GT582"/>
      <c r="GU582"/>
      <c r="GV582"/>
      <c r="GW582"/>
      <c r="GX582"/>
      <c r="GY582"/>
      <c r="GZ582"/>
      <c r="HA582"/>
      <c r="HB582"/>
      <c r="HC582"/>
      <c r="HD582"/>
      <c r="HE582"/>
      <c r="HF582"/>
      <c r="HG582"/>
      <c r="HH582"/>
      <c r="HI582"/>
      <c r="HJ582"/>
      <c r="HK582"/>
      <c r="HL582"/>
      <c r="HM582"/>
      <c r="HN582"/>
      <c r="HO582"/>
      <c r="HP582"/>
      <c r="HQ582"/>
      <c r="HR582"/>
      <c r="HS582"/>
      <c r="HT582"/>
      <c r="HU582"/>
      <c r="HV582"/>
      <c r="HW582"/>
      <c r="HX582"/>
      <c r="HY582"/>
      <c r="HZ582"/>
      <c r="IA582"/>
      <c r="IB582"/>
      <c r="IC582"/>
      <c r="ID582"/>
      <c r="IE582"/>
      <c r="IF582"/>
      <c r="IG582"/>
      <c r="IH582"/>
      <c r="II582"/>
      <c r="IJ582"/>
      <c r="IK582"/>
      <c r="IL582"/>
      <c r="IM582"/>
      <c r="IN582"/>
      <c r="IO582"/>
      <c r="IP582"/>
      <c r="IQ582"/>
      <c r="IR582"/>
      <c r="IS582"/>
      <c r="IT582"/>
      <c r="IU582"/>
      <c r="IV582"/>
      <c r="IW582"/>
      <c r="IX582"/>
      <c r="IY582"/>
      <c r="IZ582"/>
      <c r="JA582"/>
      <c r="JB582"/>
      <c r="JC582"/>
      <c r="JD582"/>
      <c r="JE582"/>
      <c r="JF582"/>
      <c r="JG582"/>
      <c r="JH582"/>
      <c r="JI582"/>
      <c r="JJ582"/>
      <c r="JK582"/>
      <c r="JL582"/>
      <c r="JM582"/>
      <c r="JN582"/>
      <c r="JO582"/>
      <c r="JP582"/>
      <c r="JQ582"/>
      <c r="JR582"/>
      <c r="JS582"/>
      <c r="JT582"/>
      <c r="JU582"/>
      <c r="JV582"/>
      <c r="JW582"/>
      <c r="JX582"/>
      <c r="JY582"/>
      <c r="JZ582"/>
      <c r="KA582"/>
      <c r="KB582"/>
      <c r="KC582"/>
      <c r="KD582"/>
      <c r="KE582"/>
      <c r="KF582"/>
      <c r="KG582"/>
      <c r="KH582"/>
      <c r="KI582"/>
      <c r="KJ582"/>
      <c r="KK582"/>
      <c r="KL582"/>
      <c r="KM582"/>
      <c r="KN582"/>
      <c r="KO582"/>
      <c r="KP582"/>
      <c r="KQ582"/>
      <c r="KR582"/>
      <c r="KS582"/>
    </row>
    <row r="583" spans="2:305" hidden="1" x14ac:dyDescent="0.25">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M583"/>
      <c r="CN583"/>
      <c r="CO583"/>
      <c r="CP583"/>
      <c r="CQ583"/>
      <c r="CR583"/>
      <c r="CS583"/>
      <c r="CT583"/>
      <c r="CU583"/>
      <c r="CV583"/>
      <c r="CW583"/>
      <c r="CX583"/>
      <c r="CY583"/>
      <c r="CZ583"/>
      <c r="DA583"/>
      <c r="DB583"/>
      <c r="DC583"/>
      <c r="DD583"/>
      <c r="DE583"/>
      <c r="DF583"/>
      <c r="DG583"/>
      <c r="DH583"/>
      <c r="DI583"/>
      <c r="DJ583"/>
      <c r="DK583"/>
      <c r="DL583"/>
      <c r="DM583"/>
      <c r="DN583"/>
      <c r="DO583"/>
      <c r="DP583"/>
      <c r="DQ583"/>
      <c r="DR583"/>
      <c r="DS583"/>
      <c r="DT583"/>
      <c r="DU583"/>
      <c r="DV583"/>
      <c r="DW583"/>
      <c r="DX583"/>
      <c r="DY583"/>
      <c r="DZ583"/>
      <c r="EA583"/>
      <c r="EB583"/>
      <c r="EC583"/>
      <c r="ED583"/>
      <c r="EE583"/>
      <c r="EF583"/>
      <c r="EG583"/>
      <c r="EH583"/>
      <c r="EI583"/>
      <c r="EJ583"/>
      <c r="EK583"/>
      <c r="EL583"/>
      <c r="EM583"/>
      <c r="EN583"/>
      <c r="EO583"/>
      <c r="EP583"/>
      <c r="EQ583"/>
      <c r="ER583"/>
      <c r="ES583"/>
      <c r="ET583"/>
      <c r="EU583"/>
      <c r="EV583"/>
      <c r="EW583"/>
      <c r="EX583"/>
      <c r="EY583"/>
      <c r="EZ583"/>
      <c r="FA583"/>
      <c r="FB583"/>
      <c r="FC583"/>
      <c r="FD583"/>
      <c r="FE583"/>
      <c r="FF583"/>
      <c r="FG583"/>
      <c r="FH583"/>
      <c r="FI583"/>
      <c r="FJ583"/>
      <c r="FK583"/>
      <c r="FL583"/>
      <c r="FM583"/>
      <c r="FN583"/>
      <c r="FO583"/>
      <c r="FP583"/>
      <c r="FQ583"/>
      <c r="FR583"/>
      <c r="FS583"/>
      <c r="FT583"/>
      <c r="FU583"/>
      <c r="FV583"/>
      <c r="FW583"/>
      <c r="FX583"/>
      <c r="FY583"/>
      <c r="FZ583"/>
      <c r="GA583"/>
      <c r="GB583"/>
      <c r="GC583"/>
      <c r="GD583"/>
      <c r="GE583"/>
      <c r="GF583"/>
      <c r="GG583"/>
      <c r="GH583"/>
      <c r="GI583"/>
      <c r="GJ583"/>
      <c r="GK583"/>
      <c r="GL583"/>
      <c r="GM583"/>
      <c r="GN583"/>
      <c r="GO583"/>
      <c r="GP583"/>
      <c r="GQ583"/>
      <c r="GR583"/>
      <c r="GS583"/>
      <c r="GT583"/>
      <c r="GU583"/>
      <c r="GV583"/>
      <c r="GW583"/>
      <c r="GX583"/>
      <c r="GY583"/>
      <c r="GZ583"/>
      <c r="HA583"/>
      <c r="HB583"/>
      <c r="HC583"/>
      <c r="HD583"/>
      <c r="HE583"/>
      <c r="HF583"/>
      <c r="HG583"/>
      <c r="HH583"/>
      <c r="HI583"/>
      <c r="HJ583"/>
      <c r="HK583"/>
      <c r="HL583"/>
      <c r="HM583"/>
      <c r="HN583"/>
      <c r="HO583"/>
      <c r="HP583"/>
      <c r="HQ583"/>
      <c r="HR583"/>
      <c r="HS583"/>
      <c r="HT583"/>
      <c r="HU583"/>
      <c r="HV583"/>
      <c r="HW583"/>
      <c r="HX583"/>
      <c r="HY583"/>
      <c r="HZ583"/>
      <c r="IA583"/>
      <c r="IB583"/>
      <c r="IC583"/>
      <c r="ID583"/>
      <c r="IE583"/>
      <c r="IF583"/>
      <c r="IG583"/>
      <c r="IH583"/>
      <c r="II583"/>
      <c r="IJ583"/>
      <c r="IK583"/>
      <c r="IL583"/>
      <c r="IM583"/>
      <c r="IN583"/>
      <c r="IO583"/>
      <c r="IP583"/>
      <c r="IQ583"/>
      <c r="IR583"/>
      <c r="IS583"/>
      <c r="IT583"/>
      <c r="IU583"/>
      <c r="IV583"/>
      <c r="IW583"/>
      <c r="IX583"/>
      <c r="IY583"/>
      <c r="IZ583"/>
      <c r="JA583"/>
      <c r="JB583"/>
      <c r="JC583"/>
      <c r="JD583"/>
      <c r="JE583"/>
      <c r="JF583"/>
      <c r="JG583"/>
      <c r="JH583"/>
      <c r="JI583"/>
      <c r="JJ583"/>
      <c r="JK583"/>
      <c r="JL583"/>
      <c r="JM583"/>
      <c r="JN583"/>
      <c r="JO583"/>
      <c r="JP583"/>
      <c r="JQ583"/>
      <c r="JR583"/>
      <c r="JS583"/>
      <c r="JT583"/>
      <c r="JU583"/>
      <c r="JV583"/>
      <c r="JW583"/>
      <c r="JX583"/>
      <c r="JY583"/>
      <c r="JZ583"/>
      <c r="KA583"/>
      <c r="KB583"/>
      <c r="KC583"/>
      <c r="KD583"/>
      <c r="KE583"/>
      <c r="KF583"/>
      <c r="KG583"/>
      <c r="KH583"/>
      <c r="KI583"/>
      <c r="KJ583"/>
      <c r="KK583"/>
      <c r="KL583"/>
      <c r="KM583"/>
      <c r="KN583"/>
      <c r="KO583"/>
      <c r="KP583"/>
      <c r="KQ583"/>
      <c r="KR583"/>
      <c r="KS583"/>
    </row>
    <row r="584" spans="2:305" hidden="1" x14ac:dyDescent="0.25">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M584"/>
      <c r="CN584"/>
      <c r="CO584"/>
      <c r="CP584"/>
      <c r="CQ584"/>
      <c r="CR584"/>
      <c r="CS584"/>
      <c r="CT584"/>
      <c r="CU584"/>
      <c r="CV584"/>
      <c r="CW584"/>
      <c r="CX584"/>
      <c r="CY584"/>
      <c r="CZ584"/>
      <c r="DA584"/>
      <c r="DB584"/>
      <c r="DC584"/>
      <c r="DD584"/>
      <c r="DE584"/>
      <c r="DF584"/>
      <c r="DG584"/>
      <c r="DH584"/>
      <c r="DI584"/>
      <c r="DJ584"/>
      <c r="DK584"/>
      <c r="DL584"/>
      <c r="DM584"/>
      <c r="DN584"/>
      <c r="DO584"/>
      <c r="DP584"/>
      <c r="DQ584"/>
      <c r="DR584"/>
      <c r="DS584"/>
      <c r="DT584"/>
      <c r="DU584"/>
      <c r="DV584"/>
      <c r="DW584"/>
      <c r="DX584"/>
      <c r="DY584"/>
      <c r="DZ584"/>
      <c r="EA584"/>
      <c r="EB584"/>
      <c r="EC584"/>
      <c r="ED584"/>
      <c r="EE584"/>
      <c r="EF584"/>
      <c r="EG584"/>
      <c r="EH584"/>
      <c r="EI584"/>
      <c r="EJ584"/>
      <c r="EK584"/>
      <c r="EL584"/>
      <c r="EM584"/>
      <c r="EN584"/>
      <c r="EO584"/>
      <c r="EP584"/>
      <c r="EQ584"/>
      <c r="ER584"/>
      <c r="ES584"/>
      <c r="ET584"/>
      <c r="EU584"/>
      <c r="EV584"/>
      <c r="EW584"/>
      <c r="EX584"/>
      <c r="EY584"/>
      <c r="EZ584"/>
      <c r="FA584"/>
      <c r="FB584"/>
      <c r="FC584"/>
      <c r="FD584"/>
      <c r="FE584"/>
      <c r="FF584"/>
      <c r="FG584"/>
      <c r="FH584"/>
      <c r="FI584"/>
      <c r="FJ584"/>
      <c r="FK584"/>
      <c r="FL584"/>
      <c r="FM584"/>
      <c r="FN584"/>
      <c r="FO584"/>
      <c r="FP584"/>
      <c r="FQ584"/>
      <c r="FR584"/>
      <c r="FS584"/>
      <c r="FT584"/>
      <c r="FU584"/>
      <c r="FV584"/>
      <c r="FW584"/>
      <c r="FX584"/>
      <c r="FY584"/>
      <c r="FZ584"/>
      <c r="GA584"/>
      <c r="GB584"/>
      <c r="GC584"/>
      <c r="GD584"/>
      <c r="GE584"/>
      <c r="GF584"/>
      <c r="GG584"/>
      <c r="GH584"/>
      <c r="GI584"/>
      <c r="GJ584"/>
      <c r="GK584"/>
      <c r="GL584"/>
      <c r="GM584"/>
      <c r="GN584"/>
      <c r="GO584"/>
      <c r="GP584"/>
      <c r="GQ584"/>
      <c r="GR584"/>
      <c r="GS584"/>
      <c r="GT584"/>
      <c r="GU584"/>
      <c r="GV584"/>
      <c r="GW584"/>
      <c r="GX584"/>
      <c r="GY584"/>
      <c r="GZ584"/>
      <c r="HA584"/>
      <c r="HB584"/>
      <c r="HC584"/>
      <c r="HD584"/>
      <c r="HE584"/>
      <c r="HF584"/>
      <c r="HG584"/>
      <c r="HH584"/>
      <c r="HI584"/>
      <c r="HJ584"/>
      <c r="HK584"/>
      <c r="HL584"/>
      <c r="HM584"/>
      <c r="HN584"/>
      <c r="HO584"/>
      <c r="HP584"/>
      <c r="HQ584"/>
      <c r="HR584"/>
      <c r="HS584"/>
      <c r="HT584"/>
      <c r="HU584"/>
      <c r="HV584"/>
      <c r="HW584"/>
      <c r="HX584"/>
      <c r="HY584"/>
      <c r="HZ584"/>
      <c r="IA584"/>
      <c r="IB584"/>
      <c r="IC584"/>
      <c r="ID584"/>
      <c r="IE584"/>
      <c r="IF584"/>
      <c r="IG584"/>
      <c r="IH584"/>
      <c r="II584"/>
      <c r="IJ584"/>
      <c r="IK584"/>
      <c r="IL584"/>
      <c r="IM584"/>
      <c r="IN584"/>
      <c r="IO584"/>
      <c r="IP584"/>
      <c r="IQ584"/>
      <c r="IR584"/>
      <c r="IS584"/>
      <c r="IT584"/>
      <c r="IU584"/>
      <c r="IV584"/>
      <c r="IW584"/>
      <c r="IX584"/>
      <c r="IY584"/>
      <c r="IZ584"/>
      <c r="JA584"/>
      <c r="JB584"/>
      <c r="JC584"/>
      <c r="JD584"/>
      <c r="JE584"/>
      <c r="JF584"/>
      <c r="JG584"/>
      <c r="JH584"/>
      <c r="JI584"/>
      <c r="JJ584"/>
      <c r="JK584"/>
      <c r="JL584"/>
      <c r="JM584"/>
      <c r="JN584"/>
      <c r="JO584"/>
      <c r="JP584"/>
      <c r="JQ584"/>
      <c r="JR584"/>
      <c r="JS584"/>
      <c r="JT584"/>
      <c r="JU584"/>
      <c r="JV584"/>
      <c r="JW584"/>
      <c r="JX584"/>
      <c r="JY584"/>
      <c r="JZ584"/>
      <c r="KA584"/>
      <c r="KB584"/>
      <c r="KC584"/>
      <c r="KD584"/>
      <c r="KE584"/>
      <c r="KF584"/>
      <c r="KG584"/>
      <c r="KH584"/>
      <c r="KI584"/>
      <c r="KJ584"/>
      <c r="KK584"/>
      <c r="KL584"/>
      <c r="KM584"/>
      <c r="KN584"/>
      <c r="KO584"/>
      <c r="KP584"/>
      <c r="KQ584"/>
      <c r="KR584"/>
      <c r="KS584"/>
    </row>
    <row r="585" spans="2:305" hidden="1" x14ac:dyDescent="0.2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M585"/>
      <c r="CN585"/>
      <c r="CO585"/>
      <c r="CP585"/>
      <c r="CQ585"/>
      <c r="CR585"/>
      <c r="CS585"/>
      <c r="CT585"/>
      <c r="CU585"/>
      <c r="CV585"/>
      <c r="CW585"/>
      <c r="CX585"/>
      <c r="CY585"/>
      <c r="CZ585"/>
      <c r="DA585"/>
      <c r="DB585"/>
      <c r="DC585"/>
      <c r="DD585"/>
      <c r="DE585"/>
      <c r="DF585"/>
      <c r="DG585"/>
      <c r="DH585"/>
      <c r="DI585"/>
      <c r="DJ585"/>
      <c r="DK585"/>
      <c r="DL585"/>
      <c r="DM585"/>
      <c r="DN585"/>
      <c r="DO585"/>
      <c r="DP585"/>
      <c r="DQ585"/>
      <c r="DR585"/>
      <c r="DS585"/>
      <c r="DT585"/>
      <c r="DU585"/>
      <c r="DV585"/>
      <c r="DW585"/>
      <c r="DX585"/>
      <c r="DY585"/>
      <c r="DZ585"/>
      <c r="EA585"/>
      <c r="EB585"/>
      <c r="EC585"/>
      <c r="ED585"/>
      <c r="EE585"/>
      <c r="EF585"/>
      <c r="EG585"/>
      <c r="EH585"/>
      <c r="EI585"/>
      <c r="EJ585"/>
      <c r="EK585"/>
      <c r="EL585"/>
      <c r="EM585"/>
      <c r="EN585"/>
      <c r="EO585"/>
      <c r="EP585"/>
      <c r="EQ585"/>
      <c r="ER585"/>
      <c r="ES585"/>
      <c r="ET585"/>
      <c r="EU585"/>
      <c r="EV585"/>
      <c r="EW585"/>
      <c r="EX585"/>
      <c r="EY585"/>
      <c r="EZ585"/>
      <c r="FA585"/>
      <c r="FB585"/>
      <c r="FC585"/>
      <c r="FD585"/>
      <c r="FE585"/>
      <c r="FF585"/>
      <c r="FG585"/>
      <c r="FH585"/>
      <c r="FI585"/>
      <c r="FJ585"/>
      <c r="FK585"/>
      <c r="FL585"/>
      <c r="FM585"/>
      <c r="FN585"/>
      <c r="FO585"/>
      <c r="FP585"/>
      <c r="FQ585"/>
      <c r="FR585"/>
      <c r="FS585"/>
      <c r="FT585"/>
      <c r="FU585"/>
      <c r="FV585"/>
      <c r="FW585"/>
      <c r="FX585"/>
      <c r="FY585"/>
      <c r="FZ585"/>
      <c r="GA585"/>
      <c r="GB585"/>
      <c r="GC585"/>
      <c r="GD585"/>
      <c r="GE585"/>
      <c r="GF585"/>
      <c r="GG585"/>
      <c r="GH585"/>
      <c r="GI585"/>
      <c r="GJ585"/>
      <c r="GK585"/>
      <c r="GL585"/>
      <c r="GM585"/>
      <c r="GN585"/>
      <c r="GO585"/>
      <c r="GP585"/>
      <c r="GQ585"/>
      <c r="GR585"/>
      <c r="GS585"/>
      <c r="GT585"/>
      <c r="GU585"/>
      <c r="GV585"/>
      <c r="GW585"/>
      <c r="GX585"/>
      <c r="GY585"/>
      <c r="GZ585"/>
      <c r="HA585"/>
      <c r="HB585"/>
      <c r="HC585"/>
      <c r="HD585"/>
      <c r="HE585"/>
      <c r="HF585"/>
      <c r="HG585"/>
      <c r="HH585"/>
      <c r="HI585"/>
      <c r="HJ585"/>
      <c r="HK585"/>
      <c r="HL585"/>
      <c r="HM585"/>
      <c r="HN585"/>
      <c r="HO585"/>
      <c r="HP585"/>
      <c r="HQ585"/>
      <c r="HR585"/>
      <c r="HS585"/>
      <c r="HT585"/>
      <c r="HU585"/>
      <c r="HV585"/>
      <c r="HW585"/>
      <c r="HX585"/>
      <c r="HY585"/>
      <c r="HZ585"/>
      <c r="IA585"/>
      <c r="IB585"/>
      <c r="IC585"/>
      <c r="ID585"/>
      <c r="IE585"/>
      <c r="IF585"/>
      <c r="IG585"/>
      <c r="IH585"/>
      <c r="II585"/>
      <c r="IJ585"/>
      <c r="IK585"/>
      <c r="IL585"/>
      <c r="IM585"/>
      <c r="IN585"/>
      <c r="IO585"/>
      <c r="IP585"/>
      <c r="IQ585"/>
      <c r="IR585"/>
      <c r="IS585"/>
      <c r="IT585"/>
      <c r="IU585"/>
      <c r="IV585"/>
      <c r="IW585"/>
      <c r="IX585"/>
      <c r="IY585"/>
      <c r="IZ585"/>
      <c r="JA585"/>
      <c r="JB585"/>
      <c r="JC585"/>
      <c r="JD585"/>
      <c r="JE585"/>
      <c r="JF585"/>
      <c r="JG585"/>
      <c r="JH585"/>
      <c r="JI585"/>
      <c r="JJ585"/>
      <c r="JK585"/>
      <c r="JL585"/>
      <c r="JM585"/>
      <c r="JN585"/>
      <c r="JO585"/>
      <c r="JP585"/>
      <c r="JQ585"/>
      <c r="JR585"/>
      <c r="JS585"/>
      <c r="JT585"/>
      <c r="JU585"/>
      <c r="JV585"/>
      <c r="JW585"/>
      <c r="JX585"/>
      <c r="JY585"/>
      <c r="JZ585"/>
      <c r="KA585"/>
      <c r="KB585"/>
      <c r="KC585"/>
      <c r="KD585"/>
      <c r="KE585"/>
      <c r="KF585"/>
      <c r="KG585"/>
      <c r="KH585"/>
      <c r="KI585"/>
      <c r="KJ585"/>
      <c r="KK585"/>
      <c r="KL585"/>
      <c r="KM585"/>
      <c r="KN585"/>
      <c r="KO585"/>
      <c r="KP585"/>
      <c r="KQ585"/>
      <c r="KR585"/>
      <c r="KS585"/>
    </row>
    <row r="586" spans="2:305" hidden="1" x14ac:dyDescent="0.25">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M586"/>
      <c r="CN586"/>
      <c r="CO586"/>
      <c r="CP586"/>
      <c r="CQ586"/>
      <c r="CR586"/>
      <c r="CS586"/>
      <c r="CT586"/>
      <c r="CU586"/>
      <c r="CV586"/>
      <c r="CW586"/>
      <c r="CX586"/>
      <c r="CY586"/>
      <c r="CZ586"/>
      <c r="DA586"/>
      <c r="DB586"/>
      <c r="DC586"/>
      <c r="DD586"/>
      <c r="DE586"/>
      <c r="DF586"/>
      <c r="DG586"/>
      <c r="DH586"/>
      <c r="DI586"/>
      <c r="DJ586"/>
      <c r="DK586"/>
      <c r="DL586"/>
      <c r="DM586"/>
      <c r="DN586"/>
      <c r="DO586"/>
      <c r="DP586"/>
      <c r="DQ586"/>
      <c r="DR586"/>
      <c r="DS586"/>
      <c r="DT586"/>
      <c r="DU586"/>
      <c r="DV586"/>
      <c r="DW586"/>
      <c r="DX586"/>
      <c r="DY586"/>
      <c r="DZ586"/>
      <c r="EA586"/>
      <c r="EB586"/>
      <c r="EC586"/>
      <c r="ED586"/>
      <c r="EE586"/>
      <c r="EF586"/>
      <c r="EG586"/>
      <c r="EH586"/>
      <c r="EI586"/>
      <c r="EJ586"/>
      <c r="EK586"/>
      <c r="EL586"/>
      <c r="EM586"/>
      <c r="EN586"/>
      <c r="EO586"/>
      <c r="EP586"/>
      <c r="EQ586"/>
      <c r="ER586"/>
      <c r="ES586"/>
      <c r="ET586"/>
      <c r="EU586"/>
      <c r="EV586"/>
      <c r="EW586"/>
      <c r="EX586"/>
      <c r="EY586"/>
      <c r="EZ586"/>
      <c r="FA586"/>
      <c r="FB586"/>
      <c r="FC586"/>
      <c r="FD586"/>
      <c r="FE586"/>
      <c r="FF586"/>
      <c r="FG586"/>
      <c r="FH586"/>
      <c r="FI586"/>
      <c r="FJ586"/>
      <c r="FK586"/>
      <c r="FL586"/>
      <c r="FM586"/>
      <c r="FN586"/>
      <c r="FO586"/>
      <c r="FP586"/>
      <c r="FQ586"/>
      <c r="FR586"/>
      <c r="FS586"/>
      <c r="FT586"/>
      <c r="FU586"/>
      <c r="FV586"/>
      <c r="FW586"/>
      <c r="FX586"/>
      <c r="FY586"/>
      <c r="FZ586"/>
      <c r="GA586"/>
      <c r="GB586"/>
      <c r="GC586"/>
      <c r="GD586"/>
      <c r="GE586"/>
      <c r="GF586"/>
      <c r="GG586"/>
      <c r="GH586"/>
      <c r="GI586"/>
      <c r="GJ586"/>
      <c r="GK586"/>
      <c r="GL586"/>
      <c r="GM586"/>
      <c r="GN586"/>
      <c r="GO586"/>
      <c r="GP586"/>
      <c r="GQ586"/>
      <c r="GR586"/>
      <c r="GS586"/>
      <c r="GT586"/>
      <c r="GU586"/>
      <c r="GV586"/>
      <c r="GW586"/>
      <c r="GX586"/>
      <c r="GY586"/>
      <c r="GZ586"/>
      <c r="HA586"/>
      <c r="HB586"/>
      <c r="HC586"/>
      <c r="HD586"/>
      <c r="HE586"/>
      <c r="HF586"/>
      <c r="HG586"/>
      <c r="HH586"/>
      <c r="HI586"/>
      <c r="HJ586"/>
      <c r="HK586"/>
      <c r="HL586"/>
      <c r="HM586"/>
      <c r="HN586"/>
      <c r="HO586"/>
      <c r="HP586"/>
      <c r="HQ586"/>
      <c r="HR586"/>
      <c r="HS586"/>
      <c r="HT586"/>
      <c r="HU586"/>
      <c r="HV586"/>
      <c r="HW586"/>
      <c r="HX586"/>
      <c r="HY586"/>
      <c r="HZ586"/>
      <c r="IA586"/>
      <c r="IB586"/>
      <c r="IC586"/>
      <c r="ID586"/>
      <c r="IE586"/>
      <c r="IF586"/>
      <c r="IG586"/>
      <c r="IH586"/>
      <c r="II586"/>
      <c r="IJ586"/>
      <c r="IK586"/>
      <c r="IL586"/>
      <c r="IM586"/>
      <c r="IN586"/>
      <c r="IO586"/>
      <c r="IP586"/>
      <c r="IQ586"/>
      <c r="IR586"/>
      <c r="IS586"/>
      <c r="IT586"/>
      <c r="IU586"/>
      <c r="IV586"/>
      <c r="IW586"/>
      <c r="IX586"/>
      <c r="IY586"/>
      <c r="IZ586"/>
      <c r="JA586"/>
      <c r="JB586"/>
      <c r="JC586"/>
      <c r="JD586"/>
      <c r="JE586"/>
      <c r="JF586"/>
      <c r="JG586"/>
      <c r="JH586"/>
      <c r="JI586"/>
      <c r="JJ586"/>
      <c r="JK586"/>
      <c r="JL586"/>
      <c r="JM586"/>
      <c r="JN586"/>
      <c r="JO586"/>
      <c r="JP586"/>
      <c r="JQ586"/>
      <c r="JR586"/>
      <c r="JS586"/>
      <c r="JT586"/>
      <c r="JU586"/>
      <c r="JV586"/>
      <c r="JW586"/>
      <c r="JX586"/>
      <c r="JY586"/>
      <c r="JZ586"/>
      <c r="KA586"/>
      <c r="KB586"/>
      <c r="KC586"/>
      <c r="KD586"/>
      <c r="KE586"/>
      <c r="KF586"/>
      <c r="KG586"/>
      <c r="KH586"/>
      <c r="KI586"/>
      <c r="KJ586"/>
      <c r="KK586"/>
      <c r="KL586"/>
      <c r="KM586"/>
      <c r="KN586"/>
      <c r="KO586"/>
      <c r="KP586"/>
      <c r="KQ586"/>
      <c r="KR586"/>
      <c r="KS586"/>
    </row>
    <row r="587" spans="2:305" hidden="1" x14ac:dyDescent="0.25">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M587"/>
      <c r="CN587"/>
      <c r="CO587"/>
      <c r="CP587"/>
      <c r="CQ587"/>
      <c r="CR587"/>
      <c r="CS587"/>
      <c r="CT587"/>
      <c r="CU587"/>
      <c r="CV587"/>
      <c r="CW587"/>
      <c r="CX587"/>
      <c r="CY587"/>
      <c r="CZ587"/>
      <c r="DA587"/>
      <c r="DB587"/>
      <c r="DC587"/>
      <c r="DD587"/>
      <c r="DE587"/>
      <c r="DF587"/>
      <c r="DG587"/>
      <c r="DH587"/>
      <c r="DI587"/>
      <c r="DJ587"/>
      <c r="DK587"/>
      <c r="DL587"/>
      <c r="DM587"/>
      <c r="DN587"/>
      <c r="DO587"/>
      <c r="DP587"/>
      <c r="DQ587"/>
      <c r="DR587"/>
      <c r="DS587"/>
      <c r="DT587"/>
      <c r="DU587"/>
      <c r="DV587"/>
      <c r="DW587"/>
      <c r="DX587"/>
      <c r="DY587"/>
      <c r="DZ587"/>
      <c r="EA587"/>
      <c r="EB587"/>
      <c r="EC587"/>
      <c r="ED587"/>
      <c r="EE587"/>
      <c r="EF587"/>
      <c r="EG587"/>
      <c r="EH587"/>
      <c r="EI587"/>
      <c r="EJ587"/>
      <c r="EK587"/>
      <c r="EL587"/>
      <c r="EM587"/>
      <c r="EN587"/>
      <c r="EO587"/>
      <c r="EP587"/>
      <c r="EQ587"/>
      <c r="ER587"/>
      <c r="ES587"/>
      <c r="ET587"/>
      <c r="EU587"/>
      <c r="EV587"/>
      <c r="EW587"/>
      <c r="EX587"/>
      <c r="EY587"/>
      <c r="EZ587"/>
      <c r="FA587"/>
      <c r="FB587"/>
      <c r="FC587"/>
      <c r="FD587"/>
      <c r="FE587"/>
      <c r="FF587"/>
      <c r="FG587"/>
      <c r="FH587"/>
      <c r="FI587"/>
      <c r="FJ587"/>
      <c r="FK587"/>
      <c r="FL587"/>
      <c r="FM587"/>
      <c r="FN587"/>
      <c r="FO587"/>
      <c r="FP587"/>
      <c r="FQ587"/>
      <c r="FR587"/>
      <c r="FS587"/>
      <c r="FT587"/>
      <c r="FU587"/>
      <c r="FV587"/>
      <c r="FW587"/>
      <c r="FX587"/>
      <c r="FY587"/>
      <c r="FZ587"/>
      <c r="GA587"/>
      <c r="GB587"/>
      <c r="GC587"/>
      <c r="GD587"/>
      <c r="GE587"/>
      <c r="GF587"/>
      <c r="GG587"/>
      <c r="GH587"/>
      <c r="GI587"/>
      <c r="GJ587"/>
      <c r="GK587"/>
      <c r="GL587"/>
      <c r="GM587"/>
      <c r="GN587"/>
      <c r="GO587"/>
      <c r="GP587"/>
      <c r="GQ587"/>
      <c r="GR587"/>
      <c r="GS587"/>
      <c r="GT587"/>
      <c r="GU587"/>
      <c r="GV587"/>
      <c r="GW587"/>
      <c r="GX587"/>
      <c r="GY587"/>
      <c r="GZ587"/>
      <c r="HA587"/>
      <c r="HB587"/>
      <c r="HC587"/>
      <c r="HD587"/>
      <c r="HE587"/>
      <c r="HF587"/>
      <c r="HG587"/>
      <c r="HH587"/>
      <c r="HI587"/>
      <c r="HJ587"/>
      <c r="HK587"/>
      <c r="HL587"/>
      <c r="HM587"/>
      <c r="HN587"/>
      <c r="HO587"/>
      <c r="HP587"/>
      <c r="HQ587"/>
      <c r="HR587"/>
      <c r="HS587"/>
      <c r="HT587"/>
      <c r="HU587"/>
      <c r="HV587"/>
      <c r="HW587"/>
      <c r="HX587"/>
      <c r="HY587"/>
      <c r="HZ587"/>
      <c r="IA587"/>
      <c r="IB587"/>
      <c r="IC587"/>
      <c r="ID587"/>
      <c r="IE587"/>
      <c r="IF587"/>
      <c r="IG587"/>
      <c r="IH587"/>
      <c r="II587"/>
      <c r="IJ587"/>
      <c r="IK587"/>
      <c r="IL587"/>
      <c r="IM587"/>
      <c r="IN587"/>
      <c r="IO587"/>
      <c r="IP587"/>
      <c r="IQ587"/>
      <c r="IR587"/>
      <c r="IS587"/>
      <c r="IT587"/>
      <c r="IU587"/>
      <c r="IV587"/>
      <c r="IW587"/>
      <c r="IX587"/>
      <c r="IY587"/>
      <c r="IZ587"/>
      <c r="JA587"/>
      <c r="JB587"/>
      <c r="JC587"/>
      <c r="JD587"/>
      <c r="JE587"/>
      <c r="JF587"/>
      <c r="JG587"/>
      <c r="JH587"/>
      <c r="JI587"/>
      <c r="JJ587"/>
      <c r="JK587"/>
      <c r="JL587"/>
      <c r="JM587"/>
      <c r="JN587"/>
      <c r="JO587"/>
      <c r="JP587"/>
      <c r="JQ587"/>
      <c r="JR587"/>
      <c r="JS587"/>
      <c r="JT587"/>
      <c r="JU587"/>
      <c r="JV587"/>
      <c r="JW587"/>
      <c r="JX587"/>
      <c r="JY587"/>
      <c r="JZ587"/>
      <c r="KA587"/>
      <c r="KB587"/>
      <c r="KC587"/>
      <c r="KD587"/>
      <c r="KE587"/>
      <c r="KF587"/>
      <c r="KG587"/>
      <c r="KH587"/>
      <c r="KI587"/>
      <c r="KJ587"/>
      <c r="KK587"/>
      <c r="KL587"/>
      <c r="KM587"/>
      <c r="KN587"/>
      <c r="KO587"/>
      <c r="KP587"/>
      <c r="KQ587"/>
      <c r="KR587"/>
      <c r="KS587"/>
    </row>
    <row r="588" spans="2:305" hidden="1" x14ac:dyDescent="0.25">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M588"/>
      <c r="CN588"/>
      <c r="CO588"/>
      <c r="CP588"/>
      <c r="CQ588"/>
      <c r="CR588"/>
      <c r="CS588"/>
      <c r="CT588"/>
      <c r="CU588"/>
      <c r="CV588"/>
      <c r="CW588"/>
      <c r="CX588"/>
      <c r="CY588"/>
      <c r="CZ588"/>
      <c r="DA588"/>
      <c r="DB588"/>
      <c r="DC588"/>
      <c r="DD588"/>
      <c r="DE588"/>
      <c r="DF588"/>
      <c r="DG588"/>
      <c r="DH588"/>
      <c r="DI588"/>
      <c r="DJ588"/>
      <c r="DK588"/>
      <c r="DL588"/>
      <c r="DM588"/>
      <c r="DN588"/>
      <c r="DO588"/>
      <c r="DP588"/>
      <c r="DQ588"/>
      <c r="DR588"/>
      <c r="DS588"/>
      <c r="DT588"/>
      <c r="DU588"/>
      <c r="DV588"/>
      <c r="DW588"/>
      <c r="DX588"/>
      <c r="DY588"/>
      <c r="DZ588"/>
      <c r="EA588"/>
      <c r="EB588"/>
      <c r="EC588"/>
      <c r="ED588"/>
      <c r="EE588"/>
      <c r="EF588"/>
      <c r="EG588"/>
      <c r="EH588"/>
      <c r="EI588"/>
      <c r="EJ588"/>
      <c r="EK588"/>
      <c r="EL588"/>
      <c r="EM588"/>
      <c r="EN588"/>
      <c r="EO588"/>
      <c r="EP588"/>
      <c r="EQ588"/>
      <c r="ER588"/>
      <c r="ES588"/>
      <c r="ET588"/>
      <c r="EU588"/>
      <c r="EV588"/>
      <c r="EW588"/>
      <c r="EX588"/>
      <c r="EY588"/>
      <c r="EZ588"/>
      <c r="FA588"/>
      <c r="FB588"/>
      <c r="FC588"/>
      <c r="FD588"/>
      <c r="FE588"/>
      <c r="FF588"/>
      <c r="FG588"/>
      <c r="FH588"/>
      <c r="FI588"/>
      <c r="FJ588"/>
      <c r="FK588"/>
      <c r="FL588"/>
      <c r="FM588"/>
      <c r="FN588"/>
      <c r="FO588"/>
      <c r="FP588"/>
      <c r="FQ588"/>
      <c r="FR588"/>
      <c r="FS588"/>
      <c r="FT588"/>
      <c r="FU588"/>
      <c r="FV588"/>
      <c r="FW588"/>
      <c r="FX588"/>
      <c r="FY588"/>
      <c r="FZ588"/>
      <c r="GA588"/>
      <c r="GB588"/>
      <c r="GC588"/>
      <c r="GD588"/>
      <c r="GE588"/>
      <c r="GF588"/>
      <c r="GG588"/>
      <c r="GH588"/>
      <c r="GI588"/>
      <c r="GJ588"/>
      <c r="GK588"/>
      <c r="GL588"/>
      <c r="GM588"/>
      <c r="GN588"/>
      <c r="GO588"/>
      <c r="GP588"/>
      <c r="GQ588"/>
      <c r="GR588"/>
      <c r="GS588"/>
      <c r="GT588"/>
      <c r="GU588"/>
      <c r="GV588"/>
      <c r="GW588"/>
      <c r="GX588"/>
      <c r="GY588"/>
      <c r="GZ588"/>
      <c r="HA588"/>
      <c r="HB588"/>
      <c r="HC588"/>
      <c r="HD588"/>
      <c r="HE588"/>
      <c r="HF588"/>
      <c r="HG588"/>
      <c r="HH588"/>
      <c r="HI588"/>
      <c r="HJ588"/>
      <c r="HK588"/>
      <c r="HL588"/>
      <c r="HM588"/>
      <c r="HN588"/>
      <c r="HO588"/>
      <c r="HP588"/>
      <c r="HQ588"/>
      <c r="HR588"/>
      <c r="HS588"/>
      <c r="HT588"/>
      <c r="HU588"/>
      <c r="HV588"/>
      <c r="HW588"/>
      <c r="HX588"/>
      <c r="HY588"/>
      <c r="HZ588"/>
      <c r="IA588"/>
      <c r="IB588"/>
      <c r="IC588"/>
      <c r="ID588"/>
      <c r="IE588"/>
      <c r="IF588"/>
      <c r="IG588"/>
      <c r="IH588"/>
      <c r="II588"/>
      <c r="IJ588"/>
      <c r="IK588"/>
      <c r="IL588"/>
      <c r="IM588"/>
      <c r="IN588"/>
      <c r="IO588"/>
      <c r="IP588"/>
      <c r="IQ588"/>
      <c r="IR588"/>
      <c r="IS588"/>
      <c r="IT588"/>
      <c r="IU588"/>
      <c r="IV588"/>
      <c r="IW588"/>
      <c r="IX588"/>
      <c r="IY588"/>
      <c r="IZ588"/>
      <c r="JA588"/>
      <c r="JB588"/>
      <c r="JC588"/>
      <c r="JD588"/>
      <c r="JE588"/>
      <c r="JF588"/>
      <c r="JG588"/>
      <c r="JH588"/>
      <c r="JI588"/>
      <c r="JJ588"/>
      <c r="JK588"/>
      <c r="JL588"/>
      <c r="JM588"/>
      <c r="JN588"/>
      <c r="JO588"/>
      <c r="JP588"/>
      <c r="JQ588"/>
      <c r="JR588"/>
      <c r="JS588"/>
      <c r="JT588"/>
      <c r="JU588"/>
      <c r="JV588"/>
      <c r="JW588"/>
      <c r="JX588"/>
      <c r="JY588"/>
      <c r="JZ588"/>
      <c r="KA588"/>
      <c r="KB588"/>
      <c r="KC588"/>
      <c r="KD588"/>
      <c r="KE588"/>
      <c r="KF588"/>
      <c r="KG588"/>
      <c r="KH588"/>
      <c r="KI588"/>
      <c r="KJ588"/>
      <c r="KK588"/>
      <c r="KL588"/>
      <c r="KM588"/>
      <c r="KN588"/>
      <c r="KO588"/>
      <c r="KP588"/>
      <c r="KQ588"/>
      <c r="KR588"/>
      <c r="KS588"/>
    </row>
    <row r="589" spans="2:305" hidden="1" x14ac:dyDescent="0.25">
      <c r="B589"/>
      <c r="C589"/>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M589"/>
      <c r="CN589"/>
      <c r="CO589"/>
      <c r="CP589"/>
      <c r="CQ589"/>
      <c r="CR589"/>
      <c r="CS589"/>
      <c r="CT589"/>
      <c r="CU589"/>
      <c r="CV589"/>
      <c r="CW589"/>
      <c r="CX589"/>
      <c r="CY589"/>
      <c r="CZ589"/>
      <c r="DA589"/>
      <c r="DB589"/>
      <c r="DC589"/>
      <c r="DD589"/>
      <c r="DE589"/>
      <c r="DF589"/>
      <c r="DG589"/>
      <c r="DH589"/>
      <c r="DI589"/>
      <c r="DJ589"/>
      <c r="DK589"/>
      <c r="DL589"/>
      <c r="DM589"/>
      <c r="DN589"/>
      <c r="DO589"/>
      <c r="DP589"/>
      <c r="DQ589"/>
      <c r="DR589"/>
      <c r="DS589"/>
      <c r="DT589"/>
      <c r="DU589"/>
      <c r="DV589"/>
      <c r="DW589"/>
      <c r="DX589"/>
      <c r="DY589"/>
      <c r="DZ589"/>
      <c r="EA589"/>
      <c r="EB589"/>
      <c r="EC589"/>
      <c r="ED589"/>
      <c r="EE589"/>
      <c r="EF589"/>
      <c r="EG589"/>
      <c r="EH589"/>
      <c r="EI589"/>
      <c r="EJ589"/>
      <c r="EK589"/>
      <c r="EL589"/>
      <c r="EM589"/>
      <c r="EN589"/>
      <c r="EO589"/>
      <c r="EP589"/>
      <c r="EQ589"/>
      <c r="ER589"/>
      <c r="ES589"/>
      <c r="ET589"/>
      <c r="EU589"/>
      <c r="EV589"/>
      <c r="EW589"/>
      <c r="EX589"/>
      <c r="EY589"/>
      <c r="EZ589"/>
      <c r="FA589"/>
      <c r="FB589"/>
      <c r="FC589"/>
      <c r="FD589"/>
      <c r="FE589"/>
      <c r="FF589"/>
      <c r="FG589"/>
      <c r="FH589"/>
      <c r="FI589"/>
      <c r="FJ589"/>
      <c r="FK589"/>
      <c r="FL589"/>
      <c r="FM589"/>
      <c r="FN589"/>
      <c r="FO589"/>
      <c r="FP589"/>
      <c r="FQ589"/>
      <c r="FR589"/>
      <c r="FS589"/>
      <c r="FT589"/>
      <c r="FU589"/>
      <c r="FV589"/>
      <c r="FW589"/>
      <c r="FX589"/>
      <c r="FY589"/>
      <c r="FZ589"/>
      <c r="GA589"/>
      <c r="GB589"/>
      <c r="GC589"/>
      <c r="GD589"/>
      <c r="GE589"/>
      <c r="GF589"/>
      <c r="GG589"/>
      <c r="GH589"/>
      <c r="GI589"/>
      <c r="GJ589"/>
      <c r="GK589"/>
      <c r="GL589"/>
      <c r="GM589"/>
      <c r="GN589"/>
      <c r="GO589"/>
      <c r="GP589"/>
      <c r="GQ589"/>
      <c r="GR589"/>
      <c r="GS589"/>
      <c r="GT589"/>
      <c r="GU589"/>
      <c r="GV589"/>
      <c r="GW589"/>
      <c r="GX589"/>
      <c r="GY589"/>
      <c r="GZ589"/>
      <c r="HA589"/>
      <c r="HB589"/>
      <c r="HC589"/>
      <c r="HD589"/>
      <c r="HE589"/>
      <c r="HF589"/>
      <c r="HG589"/>
      <c r="HH589"/>
      <c r="HI589"/>
      <c r="HJ589"/>
      <c r="HK589"/>
      <c r="HL589"/>
      <c r="HM589"/>
      <c r="HN589"/>
      <c r="HO589"/>
      <c r="HP589"/>
      <c r="HQ589"/>
      <c r="HR589"/>
      <c r="HS589"/>
      <c r="HT589"/>
      <c r="HU589"/>
      <c r="HV589"/>
      <c r="HW589"/>
      <c r="HX589"/>
      <c r="HY589"/>
      <c r="HZ589"/>
      <c r="IA589"/>
      <c r="IB589"/>
      <c r="IC589"/>
      <c r="ID589"/>
      <c r="IE589"/>
      <c r="IF589"/>
      <c r="IG589"/>
      <c r="IH589"/>
      <c r="II589"/>
      <c r="IJ589"/>
      <c r="IK589"/>
      <c r="IL589"/>
      <c r="IM589"/>
      <c r="IN589"/>
      <c r="IO589"/>
      <c r="IP589"/>
      <c r="IQ589"/>
      <c r="IR589"/>
      <c r="IS589"/>
      <c r="IT589"/>
      <c r="IU589"/>
      <c r="IV589"/>
      <c r="IW589"/>
      <c r="IX589"/>
      <c r="IY589"/>
      <c r="IZ589"/>
      <c r="JA589"/>
      <c r="JB589"/>
      <c r="JC589"/>
      <c r="JD589"/>
      <c r="JE589"/>
      <c r="JF589"/>
      <c r="JG589"/>
      <c r="JH589"/>
      <c r="JI589"/>
      <c r="JJ589"/>
      <c r="JK589"/>
      <c r="JL589"/>
      <c r="JM589"/>
      <c r="JN589"/>
      <c r="JO589"/>
      <c r="JP589"/>
      <c r="JQ589"/>
      <c r="JR589"/>
      <c r="JS589"/>
      <c r="JT589"/>
      <c r="JU589"/>
      <c r="JV589"/>
      <c r="JW589"/>
      <c r="JX589"/>
      <c r="JY589"/>
      <c r="JZ589"/>
      <c r="KA589"/>
      <c r="KB589"/>
      <c r="KC589"/>
      <c r="KD589"/>
      <c r="KE589"/>
      <c r="KF589"/>
      <c r="KG589"/>
      <c r="KH589"/>
      <c r="KI589"/>
      <c r="KJ589"/>
      <c r="KK589"/>
      <c r="KL589"/>
      <c r="KM589"/>
      <c r="KN589"/>
      <c r="KO589"/>
      <c r="KP589"/>
      <c r="KQ589"/>
      <c r="KR589"/>
      <c r="KS589"/>
    </row>
    <row r="590" spans="2:305" hidden="1" x14ac:dyDescent="0.25">
      <c r="B590"/>
      <c r="C590"/>
      <c r="D590"/>
      <c r="E590"/>
      <c r="F590"/>
      <c r="G590"/>
      <c r="H590"/>
      <c r="I590"/>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M590"/>
      <c r="CN590"/>
      <c r="CO590"/>
      <c r="CP590"/>
      <c r="CQ590"/>
      <c r="CR590"/>
      <c r="CS590"/>
      <c r="CT590"/>
      <c r="CU590"/>
      <c r="CV590"/>
      <c r="CW590"/>
      <c r="CX590"/>
      <c r="CY590"/>
      <c r="CZ590"/>
      <c r="DA590"/>
      <c r="DB590"/>
      <c r="DC590"/>
      <c r="DD590"/>
      <c r="DE590"/>
      <c r="DF590"/>
      <c r="DG590"/>
      <c r="DH590"/>
      <c r="DI590"/>
      <c r="DJ590"/>
      <c r="DK590"/>
      <c r="DL590"/>
      <c r="DM590"/>
      <c r="DN590"/>
      <c r="DO590"/>
      <c r="DP590"/>
      <c r="DQ590"/>
      <c r="DR590"/>
      <c r="DS590"/>
      <c r="DT590"/>
      <c r="DU590"/>
      <c r="DV590"/>
      <c r="DW590"/>
      <c r="DX590"/>
      <c r="DY590"/>
      <c r="DZ590"/>
      <c r="EA590"/>
      <c r="EB590"/>
      <c r="EC590"/>
      <c r="ED590"/>
      <c r="EE590"/>
      <c r="EF590"/>
      <c r="EG590"/>
      <c r="EH590"/>
      <c r="EI590"/>
      <c r="EJ590"/>
      <c r="EK590"/>
      <c r="EL590"/>
      <c r="EM590"/>
      <c r="EN590"/>
      <c r="EO590"/>
      <c r="EP590"/>
      <c r="EQ590"/>
      <c r="ER590"/>
      <c r="ES590"/>
      <c r="ET590"/>
      <c r="EU590"/>
      <c r="EV590"/>
      <c r="EW590"/>
      <c r="EX590"/>
      <c r="EY590"/>
      <c r="EZ590"/>
      <c r="FA590"/>
      <c r="FB590"/>
      <c r="FC590"/>
      <c r="FD590"/>
      <c r="FE590"/>
      <c r="FF590"/>
      <c r="FG590"/>
      <c r="FH590"/>
      <c r="FI590"/>
      <c r="FJ590"/>
      <c r="FK590"/>
      <c r="FL590"/>
      <c r="FM590"/>
      <c r="FN590"/>
      <c r="FO590"/>
      <c r="FP590"/>
      <c r="FQ590"/>
      <c r="FR590"/>
      <c r="FS590"/>
      <c r="FT590"/>
      <c r="FU590"/>
      <c r="FV590"/>
      <c r="FW590"/>
      <c r="FX590"/>
      <c r="FY590"/>
      <c r="FZ590"/>
      <c r="GA590"/>
      <c r="GB590"/>
      <c r="GC590"/>
      <c r="GD590"/>
      <c r="GE590"/>
      <c r="GF590"/>
      <c r="GG590"/>
      <c r="GH590"/>
      <c r="GI590"/>
      <c r="GJ590"/>
      <c r="GK590"/>
      <c r="GL590"/>
      <c r="GM590"/>
      <c r="GN590"/>
      <c r="GO590"/>
      <c r="GP590"/>
      <c r="GQ590"/>
      <c r="GR590"/>
      <c r="GS590"/>
      <c r="GT590"/>
      <c r="GU590"/>
      <c r="GV590"/>
      <c r="GW590"/>
      <c r="GX590"/>
      <c r="GY590"/>
      <c r="GZ590"/>
      <c r="HA590"/>
      <c r="HB590"/>
      <c r="HC590"/>
      <c r="HD590"/>
      <c r="HE590"/>
      <c r="HF590"/>
      <c r="HG590"/>
      <c r="HH590"/>
      <c r="HI590"/>
      <c r="HJ590"/>
      <c r="HK590"/>
      <c r="HL590"/>
      <c r="HM590"/>
      <c r="HN590"/>
      <c r="HO590"/>
      <c r="HP590"/>
      <c r="HQ590"/>
      <c r="HR590"/>
      <c r="HS590"/>
      <c r="HT590"/>
      <c r="HU590"/>
      <c r="HV590"/>
      <c r="HW590"/>
      <c r="HX590"/>
      <c r="HY590"/>
      <c r="HZ590"/>
      <c r="IA590"/>
      <c r="IB590"/>
      <c r="IC590"/>
      <c r="ID590"/>
      <c r="IE590"/>
      <c r="IF590"/>
      <c r="IG590"/>
      <c r="IH590"/>
      <c r="II590"/>
      <c r="IJ590"/>
      <c r="IK590"/>
      <c r="IL590"/>
      <c r="IM590"/>
      <c r="IN590"/>
      <c r="IO590"/>
      <c r="IP590"/>
      <c r="IQ590"/>
      <c r="IR590"/>
      <c r="IS590"/>
      <c r="IT590"/>
      <c r="IU590"/>
      <c r="IV590"/>
      <c r="IW590"/>
      <c r="IX590"/>
      <c r="IY590"/>
      <c r="IZ590"/>
      <c r="JA590"/>
      <c r="JB590"/>
      <c r="JC590"/>
      <c r="JD590"/>
      <c r="JE590"/>
      <c r="JF590"/>
      <c r="JG590"/>
      <c r="JH590"/>
      <c r="JI590"/>
      <c r="JJ590"/>
      <c r="JK590"/>
      <c r="JL590"/>
      <c r="JM590"/>
      <c r="JN590"/>
      <c r="JO590"/>
      <c r="JP590"/>
      <c r="JQ590"/>
      <c r="JR590"/>
      <c r="JS590"/>
      <c r="JT590"/>
      <c r="JU590"/>
      <c r="JV590"/>
      <c r="JW590"/>
      <c r="JX590"/>
      <c r="JY590"/>
      <c r="JZ590"/>
      <c r="KA590"/>
      <c r="KB590"/>
      <c r="KC590"/>
      <c r="KD590"/>
      <c r="KE590"/>
      <c r="KF590"/>
      <c r="KG590"/>
      <c r="KH590"/>
      <c r="KI590"/>
      <c r="KJ590"/>
      <c r="KK590"/>
      <c r="KL590"/>
      <c r="KM590"/>
      <c r="KN590"/>
      <c r="KO590"/>
      <c r="KP590"/>
      <c r="KQ590"/>
      <c r="KR590"/>
      <c r="KS590"/>
    </row>
    <row r="591" spans="2:305" hidden="1" x14ac:dyDescent="0.25">
      <c r="B591"/>
      <c r="C591"/>
      <c r="D591"/>
      <c r="E591"/>
      <c r="F591"/>
      <c r="G591"/>
      <c r="H591"/>
      <c r="I591"/>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M591"/>
      <c r="CN591"/>
      <c r="CO591"/>
      <c r="CP591"/>
      <c r="CQ591"/>
      <c r="CR591"/>
      <c r="CS591"/>
      <c r="CT591"/>
      <c r="CU591"/>
      <c r="CV591"/>
      <c r="CW591"/>
      <c r="CX591"/>
      <c r="CY591"/>
      <c r="CZ591"/>
      <c r="DA591"/>
      <c r="DB591"/>
      <c r="DC591"/>
      <c r="DD591"/>
      <c r="DE591"/>
      <c r="DF591"/>
      <c r="DG591"/>
      <c r="DH591"/>
      <c r="DI591"/>
      <c r="DJ591"/>
      <c r="DK591"/>
      <c r="DL591"/>
      <c r="DM591"/>
      <c r="DN591"/>
      <c r="DO591"/>
      <c r="DP591"/>
      <c r="DQ591"/>
      <c r="DR591"/>
      <c r="DS591"/>
      <c r="DT591"/>
      <c r="DU591"/>
      <c r="DV591"/>
      <c r="DW591"/>
      <c r="DX591"/>
      <c r="DY591"/>
      <c r="DZ591"/>
      <c r="EA591"/>
      <c r="EB591"/>
      <c r="EC591"/>
      <c r="ED591"/>
      <c r="EE591"/>
      <c r="EF591"/>
      <c r="EG591"/>
      <c r="EH591"/>
      <c r="EI591"/>
      <c r="EJ591"/>
      <c r="EK591"/>
      <c r="EL591"/>
      <c r="EM591"/>
      <c r="EN591"/>
      <c r="EO591"/>
      <c r="EP591"/>
      <c r="EQ591"/>
      <c r="ER591"/>
      <c r="ES591"/>
      <c r="ET591"/>
      <c r="EU591"/>
      <c r="EV591"/>
      <c r="EW591"/>
      <c r="EX591"/>
      <c r="EY591"/>
      <c r="EZ591"/>
      <c r="FA591"/>
      <c r="FB591"/>
      <c r="FC591"/>
      <c r="FD591"/>
      <c r="FE591"/>
      <c r="FF591"/>
      <c r="FG591"/>
      <c r="FH591"/>
      <c r="FI591"/>
      <c r="FJ591"/>
      <c r="FK591"/>
      <c r="FL591"/>
      <c r="FM591"/>
      <c r="FN591"/>
      <c r="FO591"/>
      <c r="FP591"/>
      <c r="FQ591"/>
      <c r="FR591"/>
      <c r="FS591"/>
      <c r="FT591"/>
      <c r="FU591"/>
      <c r="FV591"/>
      <c r="FW591"/>
      <c r="FX591"/>
      <c r="FY591"/>
      <c r="FZ591"/>
      <c r="GA591"/>
      <c r="GB591"/>
      <c r="GC591"/>
      <c r="GD591"/>
      <c r="GE591"/>
      <c r="GF591"/>
      <c r="GG591"/>
      <c r="GH591"/>
      <c r="GI591"/>
      <c r="GJ591"/>
      <c r="GK591"/>
      <c r="GL591"/>
      <c r="GM591"/>
      <c r="GN591"/>
      <c r="GO591"/>
      <c r="GP591"/>
      <c r="GQ591"/>
      <c r="GR591"/>
      <c r="GS591"/>
      <c r="GT591"/>
      <c r="GU591"/>
      <c r="GV591"/>
      <c r="GW591"/>
      <c r="GX591"/>
      <c r="GY591"/>
      <c r="GZ591"/>
      <c r="HA591"/>
      <c r="HB591"/>
      <c r="HC591"/>
      <c r="HD591"/>
      <c r="HE591"/>
      <c r="HF591"/>
      <c r="HG591"/>
      <c r="HH591"/>
      <c r="HI591"/>
      <c r="HJ591"/>
      <c r="HK591"/>
      <c r="HL591"/>
      <c r="HM591"/>
      <c r="HN591"/>
      <c r="HO591"/>
      <c r="HP591"/>
      <c r="HQ591"/>
      <c r="HR591"/>
      <c r="HS591"/>
      <c r="HT591"/>
      <c r="HU591"/>
      <c r="HV591"/>
      <c r="HW591"/>
      <c r="HX591"/>
      <c r="HY591"/>
      <c r="HZ591"/>
      <c r="IA591"/>
      <c r="IB591"/>
      <c r="IC591"/>
      <c r="ID591"/>
      <c r="IE591"/>
      <c r="IF591"/>
      <c r="IG591"/>
      <c r="IH591"/>
      <c r="II591"/>
      <c r="IJ591"/>
      <c r="IK591"/>
      <c r="IL591"/>
      <c r="IM591"/>
      <c r="IN591"/>
      <c r="IO591"/>
      <c r="IP591"/>
      <c r="IQ591"/>
      <c r="IR591"/>
      <c r="IS591"/>
      <c r="IT591"/>
      <c r="IU591"/>
      <c r="IV591"/>
      <c r="IW591"/>
      <c r="IX591"/>
      <c r="IY591"/>
      <c r="IZ591"/>
      <c r="JA591"/>
      <c r="JB591"/>
      <c r="JC591"/>
      <c r="JD591"/>
      <c r="JE591"/>
      <c r="JF591"/>
      <c r="JG591"/>
      <c r="JH591"/>
      <c r="JI591"/>
      <c r="JJ591"/>
      <c r="JK591"/>
      <c r="JL591"/>
      <c r="JM591"/>
      <c r="JN591"/>
      <c r="JO591"/>
      <c r="JP591"/>
      <c r="JQ591"/>
      <c r="JR591"/>
      <c r="JS591"/>
      <c r="JT591"/>
      <c r="JU591"/>
      <c r="JV591"/>
      <c r="JW591"/>
      <c r="JX591"/>
      <c r="JY591"/>
      <c r="JZ591"/>
      <c r="KA591"/>
      <c r="KB591"/>
      <c r="KC591"/>
      <c r="KD591"/>
      <c r="KE591"/>
      <c r="KF591"/>
      <c r="KG591"/>
      <c r="KH591"/>
      <c r="KI591"/>
      <c r="KJ591"/>
      <c r="KK591"/>
      <c r="KL591"/>
      <c r="KM591"/>
      <c r="KN591"/>
      <c r="KO591"/>
      <c r="KP591"/>
      <c r="KQ591"/>
      <c r="KR591"/>
      <c r="KS591"/>
    </row>
    <row r="592" spans="2:305" hidden="1" x14ac:dyDescent="0.25">
      <c r="B592"/>
      <c r="C592"/>
      <c r="D592"/>
      <c r="E592"/>
      <c r="F592"/>
      <c r="G592"/>
      <c r="H592"/>
      <c r="I592"/>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M592"/>
      <c r="CN592"/>
      <c r="CO592"/>
      <c r="CP592"/>
      <c r="CQ592"/>
      <c r="CR592"/>
      <c r="CS592"/>
      <c r="CT592"/>
      <c r="CU592"/>
      <c r="CV592"/>
      <c r="CW592"/>
      <c r="CX592"/>
      <c r="CY592"/>
      <c r="CZ592"/>
      <c r="DA592"/>
      <c r="DB592"/>
      <c r="DC592"/>
      <c r="DD592"/>
      <c r="DE592"/>
      <c r="DF592"/>
      <c r="DG592"/>
      <c r="DH592"/>
      <c r="DI592"/>
      <c r="DJ592"/>
      <c r="DK592"/>
      <c r="DL592"/>
      <c r="DM592"/>
      <c r="DN592"/>
      <c r="DO592"/>
      <c r="DP592"/>
      <c r="DQ592"/>
      <c r="DR592"/>
      <c r="DS592"/>
      <c r="DT592"/>
      <c r="DU592"/>
      <c r="DV592"/>
      <c r="DW592"/>
      <c r="DX592"/>
      <c r="DY592"/>
      <c r="DZ592"/>
      <c r="EA592"/>
      <c r="EB592"/>
      <c r="EC592"/>
      <c r="ED592"/>
      <c r="EE592"/>
      <c r="EF592"/>
      <c r="EG592"/>
      <c r="EH592"/>
      <c r="EI592"/>
      <c r="EJ592"/>
      <c r="EK592"/>
      <c r="EL592"/>
      <c r="EM592"/>
      <c r="EN592"/>
      <c r="EO592"/>
      <c r="EP592"/>
      <c r="EQ592"/>
      <c r="ER592"/>
      <c r="ES592"/>
      <c r="ET592"/>
      <c r="EU592"/>
      <c r="EV592"/>
      <c r="EW592"/>
      <c r="EX592"/>
      <c r="EY592"/>
      <c r="EZ592"/>
      <c r="FA592"/>
      <c r="FB592"/>
      <c r="FC592"/>
      <c r="FD592"/>
      <c r="FE592"/>
      <c r="FF592"/>
      <c r="FG592"/>
      <c r="FH592"/>
      <c r="FI592"/>
      <c r="FJ592"/>
      <c r="FK592"/>
      <c r="FL592"/>
      <c r="FM592"/>
      <c r="FN592"/>
      <c r="FO592"/>
      <c r="FP592"/>
      <c r="FQ592"/>
      <c r="FR592"/>
      <c r="FS592"/>
      <c r="FT592"/>
      <c r="FU592"/>
      <c r="FV592"/>
      <c r="FW592"/>
      <c r="FX592"/>
      <c r="FY592"/>
      <c r="FZ592"/>
      <c r="GA592"/>
      <c r="GB592"/>
      <c r="GC592"/>
      <c r="GD592"/>
      <c r="GE592"/>
      <c r="GF592"/>
      <c r="GG592"/>
      <c r="GH592"/>
      <c r="GI592"/>
      <c r="GJ592"/>
      <c r="GK592"/>
      <c r="GL592"/>
      <c r="GM592"/>
      <c r="GN592"/>
      <c r="GO592"/>
      <c r="GP592"/>
      <c r="GQ592"/>
      <c r="GR592"/>
      <c r="GS592"/>
      <c r="GT592"/>
      <c r="GU592"/>
      <c r="GV592"/>
      <c r="GW592"/>
      <c r="GX592"/>
      <c r="GY592"/>
      <c r="GZ592"/>
      <c r="HA592"/>
      <c r="HB592"/>
      <c r="HC592"/>
      <c r="HD592"/>
      <c r="HE592"/>
      <c r="HF592"/>
      <c r="HG592"/>
      <c r="HH592"/>
      <c r="HI592"/>
      <c r="HJ592"/>
      <c r="HK592"/>
      <c r="HL592"/>
      <c r="HM592"/>
      <c r="HN592"/>
      <c r="HO592"/>
      <c r="HP592"/>
      <c r="HQ592"/>
      <c r="HR592"/>
      <c r="HS592"/>
      <c r="HT592"/>
      <c r="HU592"/>
      <c r="HV592"/>
      <c r="HW592"/>
      <c r="HX592"/>
      <c r="HY592"/>
      <c r="HZ592"/>
      <c r="IA592"/>
      <c r="IB592"/>
      <c r="IC592"/>
      <c r="ID592"/>
      <c r="IE592"/>
      <c r="IF592"/>
      <c r="IG592"/>
      <c r="IH592"/>
      <c r="II592"/>
      <c r="IJ592"/>
      <c r="IK592"/>
      <c r="IL592"/>
      <c r="IM592"/>
      <c r="IN592"/>
      <c r="IO592"/>
      <c r="IP592"/>
      <c r="IQ592"/>
      <c r="IR592"/>
      <c r="IS592"/>
      <c r="IT592"/>
      <c r="IU592"/>
      <c r="IV592"/>
      <c r="IW592"/>
      <c r="IX592"/>
      <c r="IY592"/>
      <c r="IZ592"/>
      <c r="JA592"/>
      <c r="JB592"/>
      <c r="JC592"/>
      <c r="JD592"/>
      <c r="JE592"/>
      <c r="JF592"/>
      <c r="JG592"/>
      <c r="JH592"/>
      <c r="JI592"/>
      <c r="JJ592"/>
      <c r="JK592"/>
      <c r="JL592"/>
      <c r="JM592"/>
      <c r="JN592"/>
      <c r="JO592"/>
      <c r="JP592"/>
      <c r="JQ592"/>
      <c r="JR592"/>
      <c r="JS592"/>
      <c r="JT592"/>
      <c r="JU592"/>
      <c r="JV592"/>
      <c r="JW592"/>
      <c r="JX592"/>
      <c r="JY592"/>
      <c r="JZ592"/>
      <c r="KA592"/>
      <c r="KB592"/>
      <c r="KC592"/>
      <c r="KD592"/>
      <c r="KE592"/>
      <c r="KF592"/>
      <c r="KG592"/>
      <c r="KH592"/>
      <c r="KI592"/>
      <c r="KJ592"/>
      <c r="KK592"/>
      <c r="KL592"/>
      <c r="KM592"/>
      <c r="KN592"/>
      <c r="KO592"/>
      <c r="KP592"/>
      <c r="KQ592"/>
      <c r="KR592"/>
      <c r="KS592"/>
    </row>
    <row r="593" spans="2:305" hidden="1" x14ac:dyDescent="0.25">
      <c r="B593"/>
      <c r="C593"/>
      <c r="D593"/>
      <c r="E593"/>
      <c r="F593"/>
      <c r="G593"/>
      <c r="H593"/>
      <c r="I593"/>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M593"/>
      <c r="CN593"/>
      <c r="CO593"/>
      <c r="CP593"/>
      <c r="CQ593"/>
      <c r="CR593"/>
      <c r="CS593"/>
      <c r="CT593"/>
      <c r="CU593"/>
      <c r="CV593"/>
      <c r="CW593"/>
      <c r="CX593"/>
      <c r="CY593"/>
      <c r="CZ593"/>
      <c r="DA593"/>
      <c r="DB593"/>
      <c r="DC593"/>
      <c r="DD593"/>
      <c r="DE593"/>
      <c r="DF593"/>
      <c r="DG593"/>
      <c r="DH593"/>
      <c r="DI593"/>
      <c r="DJ593"/>
      <c r="DK593"/>
      <c r="DL593"/>
      <c r="DM593"/>
      <c r="DN593"/>
      <c r="DO593"/>
      <c r="DP593"/>
      <c r="DQ593"/>
      <c r="DR593"/>
      <c r="DS593"/>
      <c r="DT593"/>
      <c r="DU593"/>
      <c r="DV593"/>
      <c r="DW593"/>
      <c r="DX593"/>
      <c r="DY593"/>
      <c r="DZ593"/>
      <c r="EA593"/>
      <c r="EB593"/>
      <c r="EC593"/>
      <c r="ED593"/>
      <c r="EE593"/>
      <c r="EF593"/>
      <c r="EG593"/>
      <c r="EH593"/>
      <c r="EI593"/>
      <c r="EJ593"/>
      <c r="EK593"/>
      <c r="EL593"/>
      <c r="EM593"/>
      <c r="EN593"/>
      <c r="EO593"/>
      <c r="EP593"/>
      <c r="EQ593"/>
      <c r="ER593"/>
      <c r="ES593"/>
      <c r="ET593"/>
      <c r="EU593"/>
      <c r="EV593"/>
      <c r="EW593"/>
      <c r="EX593"/>
      <c r="EY593"/>
      <c r="EZ593"/>
      <c r="FA593"/>
      <c r="FB593"/>
      <c r="FC593"/>
      <c r="FD593"/>
      <c r="FE593"/>
      <c r="FF593"/>
      <c r="FG593"/>
      <c r="FH593"/>
      <c r="FI593"/>
      <c r="FJ593"/>
      <c r="FK593"/>
      <c r="FL593"/>
      <c r="FM593"/>
      <c r="FN593"/>
      <c r="FO593"/>
      <c r="FP593"/>
      <c r="FQ593"/>
      <c r="FR593"/>
      <c r="FS593"/>
      <c r="FT593"/>
      <c r="FU593"/>
      <c r="FV593"/>
      <c r="FW593"/>
      <c r="FX593"/>
      <c r="FY593"/>
      <c r="FZ593"/>
      <c r="GA593"/>
      <c r="GB593"/>
      <c r="GC593"/>
      <c r="GD593"/>
      <c r="GE593"/>
      <c r="GF593"/>
      <c r="GG593"/>
      <c r="GH593"/>
      <c r="GI593"/>
      <c r="GJ593"/>
      <c r="GK593"/>
      <c r="GL593"/>
      <c r="GM593"/>
      <c r="GN593"/>
      <c r="GO593"/>
      <c r="GP593"/>
      <c r="GQ593"/>
      <c r="GR593"/>
      <c r="GS593"/>
      <c r="GT593"/>
      <c r="GU593"/>
      <c r="GV593"/>
      <c r="GW593"/>
      <c r="GX593"/>
      <c r="GY593"/>
      <c r="GZ593"/>
      <c r="HA593"/>
      <c r="HB593"/>
      <c r="HC593"/>
      <c r="HD593"/>
      <c r="HE593"/>
      <c r="HF593"/>
      <c r="HG593"/>
      <c r="HH593"/>
      <c r="HI593"/>
      <c r="HJ593"/>
      <c r="HK593"/>
      <c r="HL593"/>
      <c r="HM593"/>
      <c r="HN593"/>
      <c r="HO593"/>
      <c r="HP593"/>
      <c r="HQ593"/>
      <c r="HR593"/>
      <c r="HS593"/>
      <c r="HT593"/>
      <c r="HU593"/>
      <c r="HV593"/>
      <c r="HW593"/>
      <c r="HX593"/>
      <c r="HY593"/>
      <c r="HZ593"/>
      <c r="IA593"/>
      <c r="IB593"/>
      <c r="IC593"/>
      <c r="ID593"/>
      <c r="IE593"/>
      <c r="IF593"/>
      <c r="IG593"/>
      <c r="IH593"/>
      <c r="II593"/>
      <c r="IJ593"/>
      <c r="IK593"/>
      <c r="IL593"/>
      <c r="IM593"/>
      <c r="IN593"/>
      <c r="IO593"/>
      <c r="IP593"/>
      <c r="IQ593"/>
      <c r="IR593"/>
      <c r="IS593"/>
      <c r="IT593"/>
      <c r="IU593"/>
      <c r="IV593"/>
      <c r="IW593"/>
      <c r="IX593"/>
      <c r="IY593"/>
      <c r="IZ593"/>
      <c r="JA593"/>
      <c r="JB593"/>
      <c r="JC593"/>
      <c r="JD593"/>
      <c r="JE593"/>
      <c r="JF593"/>
      <c r="JG593"/>
      <c r="JH593"/>
      <c r="JI593"/>
      <c r="JJ593"/>
      <c r="JK593"/>
      <c r="JL593"/>
      <c r="JM593"/>
      <c r="JN593"/>
      <c r="JO593"/>
      <c r="JP593"/>
      <c r="JQ593"/>
      <c r="JR593"/>
      <c r="JS593"/>
      <c r="JT593"/>
      <c r="JU593"/>
      <c r="JV593"/>
      <c r="JW593"/>
      <c r="JX593"/>
      <c r="JY593"/>
      <c r="JZ593"/>
      <c r="KA593"/>
      <c r="KB593"/>
      <c r="KC593"/>
      <c r="KD593"/>
      <c r="KE593"/>
      <c r="KF593"/>
      <c r="KG593"/>
      <c r="KH593"/>
      <c r="KI593"/>
      <c r="KJ593"/>
      <c r="KK593"/>
      <c r="KL593"/>
      <c r="KM593"/>
      <c r="KN593"/>
      <c r="KO593"/>
      <c r="KP593"/>
      <c r="KQ593"/>
      <c r="KR593"/>
      <c r="KS593"/>
    </row>
    <row r="594" spans="2:305" hidden="1" x14ac:dyDescent="0.25">
      <c r="B594"/>
      <c r="C594"/>
      <c r="D594"/>
      <c r="E594"/>
      <c r="F594"/>
      <c r="G594"/>
      <c r="H594"/>
      <c r="I594"/>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M594"/>
      <c r="CN594"/>
      <c r="CO594"/>
      <c r="CP594"/>
      <c r="CQ594"/>
      <c r="CR594"/>
      <c r="CS594"/>
      <c r="CT594"/>
      <c r="CU594"/>
      <c r="CV594"/>
      <c r="CW594"/>
      <c r="CX594"/>
      <c r="CY594"/>
      <c r="CZ594"/>
      <c r="DA594"/>
      <c r="DB594"/>
      <c r="DC594"/>
      <c r="DD594"/>
      <c r="DE594"/>
      <c r="DF594"/>
      <c r="DG594"/>
      <c r="DH594"/>
      <c r="DI594"/>
      <c r="DJ594"/>
      <c r="DK594"/>
      <c r="DL594"/>
      <c r="DM594"/>
      <c r="DN594"/>
      <c r="DO594"/>
      <c r="DP594"/>
      <c r="DQ594"/>
      <c r="DR594"/>
      <c r="DS594"/>
      <c r="DT594"/>
      <c r="DU594"/>
      <c r="DV594"/>
      <c r="DW594"/>
      <c r="DX594"/>
      <c r="DY594"/>
      <c r="DZ594"/>
      <c r="EA594"/>
      <c r="EB594"/>
      <c r="EC594"/>
      <c r="ED594"/>
      <c r="EE594"/>
      <c r="EF594"/>
      <c r="EG594"/>
      <c r="EH594"/>
      <c r="EI594"/>
      <c r="EJ594"/>
      <c r="EK594"/>
      <c r="EL594"/>
      <c r="EM594"/>
      <c r="EN594"/>
      <c r="EO594"/>
      <c r="EP594"/>
      <c r="EQ594"/>
      <c r="ER594"/>
      <c r="ES594"/>
      <c r="ET594"/>
      <c r="EU594"/>
      <c r="EV594"/>
      <c r="EW594"/>
      <c r="EX594"/>
      <c r="EY594"/>
      <c r="EZ594"/>
      <c r="FA594"/>
      <c r="FB594"/>
      <c r="FC594"/>
      <c r="FD594"/>
      <c r="FE594"/>
      <c r="FF594"/>
      <c r="FG594"/>
      <c r="FH594"/>
      <c r="FI594"/>
      <c r="FJ594"/>
      <c r="FK594"/>
      <c r="FL594"/>
      <c r="FM594"/>
      <c r="FN594"/>
      <c r="FO594"/>
      <c r="FP594"/>
      <c r="FQ594"/>
      <c r="FR594"/>
      <c r="FS594"/>
      <c r="FT594"/>
      <c r="FU594"/>
      <c r="FV594"/>
      <c r="FW594"/>
      <c r="FX594"/>
      <c r="FY594"/>
      <c r="FZ594"/>
      <c r="GA594"/>
      <c r="GB594"/>
      <c r="GC594"/>
      <c r="GD594"/>
      <c r="GE594"/>
      <c r="GF594"/>
      <c r="GG594"/>
      <c r="GH594"/>
      <c r="GI594"/>
      <c r="GJ594"/>
      <c r="GK594"/>
      <c r="GL594"/>
      <c r="GM594"/>
      <c r="GN594"/>
      <c r="GO594"/>
      <c r="GP594"/>
      <c r="GQ594"/>
      <c r="GR594"/>
      <c r="GS594"/>
      <c r="GT594"/>
      <c r="GU594"/>
      <c r="GV594"/>
      <c r="GW594"/>
      <c r="GX594"/>
      <c r="GY594"/>
      <c r="GZ594"/>
      <c r="HA594"/>
      <c r="HB594"/>
      <c r="HC594"/>
      <c r="HD594"/>
      <c r="HE594"/>
      <c r="HF594"/>
      <c r="HG594"/>
      <c r="HH594"/>
      <c r="HI594"/>
      <c r="HJ594"/>
      <c r="HK594"/>
      <c r="HL594"/>
      <c r="HM594"/>
      <c r="HN594"/>
      <c r="HO594"/>
      <c r="HP594"/>
      <c r="HQ594"/>
      <c r="HR594"/>
      <c r="HS594"/>
      <c r="HT594"/>
      <c r="HU594"/>
      <c r="HV594"/>
      <c r="HW594"/>
      <c r="HX594"/>
      <c r="HY594"/>
      <c r="HZ594"/>
      <c r="IA594"/>
      <c r="IB594"/>
      <c r="IC594"/>
      <c r="ID594"/>
      <c r="IE594"/>
      <c r="IF594"/>
      <c r="IG594"/>
      <c r="IH594"/>
      <c r="II594"/>
      <c r="IJ594"/>
      <c r="IK594"/>
      <c r="IL594"/>
      <c r="IM594"/>
      <c r="IN594"/>
      <c r="IO594"/>
      <c r="IP594"/>
      <c r="IQ594"/>
      <c r="IR594"/>
      <c r="IS594"/>
      <c r="IT594"/>
      <c r="IU594"/>
      <c r="IV594"/>
      <c r="IW594"/>
      <c r="IX594"/>
      <c r="IY594"/>
      <c r="IZ594"/>
      <c r="JA594"/>
      <c r="JB594"/>
      <c r="JC594"/>
      <c r="JD594"/>
      <c r="JE594"/>
      <c r="JF594"/>
      <c r="JG594"/>
      <c r="JH594"/>
      <c r="JI594"/>
      <c r="JJ594"/>
      <c r="JK594"/>
      <c r="JL594"/>
      <c r="JM594"/>
      <c r="JN594"/>
      <c r="JO594"/>
      <c r="JP594"/>
      <c r="JQ594"/>
      <c r="JR594"/>
      <c r="JS594"/>
      <c r="JT594"/>
      <c r="JU594"/>
      <c r="JV594"/>
      <c r="JW594"/>
      <c r="JX594"/>
      <c r="JY594"/>
      <c r="JZ594"/>
      <c r="KA594"/>
      <c r="KB594"/>
      <c r="KC594"/>
      <c r="KD594"/>
      <c r="KE594"/>
      <c r="KF594"/>
      <c r="KG594"/>
      <c r="KH594"/>
      <c r="KI594"/>
      <c r="KJ594"/>
      <c r="KK594"/>
      <c r="KL594"/>
      <c r="KM594"/>
      <c r="KN594"/>
      <c r="KO594"/>
      <c r="KP594"/>
      <c r="KQ594"/>
      <c r="KR594"/>
      <c r="KS594"/>
    </row>
    <row r="595" spans="2:305" hidden="1" x14ac:dyDescent="0.25">
      <c r="B595"/>
      <c r="C595"/>
      <c r="D595"/>
      <c r="E595"/>
      <c r="F595"/>
      <c r="G595"/>
      <c r="H595"/>
      <c r="I595"/>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M595"/>
      <c r="CN595"/>
      <c r="CO595"/>
      <c r="CP595"/>
      <c r="CQ595"/>
      <c r="CR595"/>
      <c r="CS595"/>
      <c r="CT595"/>
      <c r="CU595"/>
      <c r="CV595"/>
      <c r="CW595"/>
      <c r="CX595"/>
      <c r="CY595"/>
      <c r="CZ595"/>
      <c r="DA595"/>
      <c r="DB595"/>
      <c r="DC595"/>
      <c r="DD595"/>
      <c r="DE595"/>
      <c r="DF595"/>
      <c r="DG595"/>
      <c r="DH595"/>
      <c r="DI595"/>
      <c r="DJ595"/>
      <c r="DK595"/>
      <c r="DL595"/>
      <c r="DM595"/>
      <c r="DN595"/>
      <c r="DO595"/>
      <c r="DP595"/>
      <c r="DQ595"/>
      <c r="DR595"/>
      <c r="DS595"/>
      <c r="DT595"/>
      <c r="DU595"/>
      <c r="DV595"/>
      <c r="DW595"/>
      <c r="DX595"/>
      <c r="DY595"/>
      <c r="DZ595"/>
      <c r="EA595"/>
      <c r="EB595"/>
      <c r="EC595"/>
      <c r="ED595"/>
      <c r="EE595"/>
      <c r="EF595"/>
      <c r="EG595"/>
      <c r="EH595"/>
      <c r="EI595"/>
      <c r="EJ595"/>
      <c r="EK595"/>
      <c r="EL595"/>
      <c r="EM595"/>
      <c r="EN595"/>
      <c r="EO595"/>
      <c r="EP595"/>
      <c r="EQ595"/>
      <c r="ER595"/>
      <c r="ES595"/>
      <c r="ET595"/>
      <c r="EU595"/>
      <c r="EV595"/>
      <c r="EW595"/>
      <c r="EX595"/>
      <c r="EY595"/>
      <c r="EZ595"/>
      <c r="FA595"/>
      <c r="FB595"/>
      <c r="FC595"/>
      <c r="FD595"/>
      <c r="FE595"/>
      <c r="FF595"/>
      <c r="FG595"/>
      <c r="FH595"/>
      <c r="FI595"/>
      <c r="FJ595"/>
      <c r="FK595"/>
      <c r="FL595"/>
      <c r="FM595"/>
      <c r="FN595"/>
      <c r="FO595"/>
      <c r="FP595"/>
      <c r="FQ595"/>
      <c r="FR595"/>
      <c r="FS595"/>
      <c r="FT595"/>
      <c r="FU595"/>
      <c r="FV595"/>
      <c r="FW595"/>
      <c r="FX595"/>
      <c r="FY595"/>
      <c r="FZ595"/>
      <c r="GA595"/>
      <c r="GB595"/>
      <c r="GC595"/>
      <c r="GD595"/>
      <c r="GE595"/>
      <c r="GF595"/>
      <c r="GG595"/>
      <c r="GH595"/>
      <c r="GI595"/>
      <c r="GJ595"/>
      <c r="GK595"/>
      <c r="GL595"/>
      <c r="GM595"/>
      <c r="GN595"/>
      <c r="GO595"/>
      <c r="GP595"/>
      <c r="GQ595"/>
      <c r="GR595"/>
      <c r="GS595"/>
      <c r="GT595"/>
      <c r="GU595"/>
      <c r="GV595"/>
      <c r="GW595"/>
      <c r="GX595"/>
      <c r="GY595"/>
      <c r="GZ595"/>
      <c r="HA595"/>
      <c r="HB595"/>
      <c r="HC595"/>
      <c r="HD595"/>
      <c r="HE595"/>
      <c r="HF595"/>
      <c r="HG595"/>
      <c r="HH595"/>
      <c r="HI595"/>
      <c r="HJ595"/>
      <c r="HK595"/>
      <c r="HL595"/>
      <c r="HM595"/>
      <c r="HN595"/>
      <c r="HO595"/>
      <c r="HP595"/>
      <c r="HQ595"/>
      <c r="HR595"/>
      <c r="HS595"/>
      <c r="HT595"/>
      <c r="HU595"/>
      <c r="HV595"/>
      <c r="HW595"/>
      <c r="HX595"/>
      <c r="HY595"/>
      <c r="HZ595"/>
      <c r="IA595"/>
      <c r="IB595"/>
      <c r="IC595"/>
      <c r="ID595"/>
      <c r="IE595"/>
      <c r="IF595"/>
      <c r="IG595"/>
      <c r="IH595"/>
      <c r="II595"/>
      <c r="IJ595"/>
      <c r="IK595"/>
      <c r="IL595"/>
      <c r="IM595"/>
      <c r="IN595"/>
      <c r="IO595"/>
      <c r="IP595"/>
      <c r="IQ595"/>
      <c r="IR595"/>
      <c r="IS595"/>
      <c r="IT595"/>
      <c r="IU595"/>
      <c r="IV595"/>
      <c r="IW595"/>
      <c r="IX595"/>
      <c r="IY595"/>
      <c r="IZ595"/>
      <c r="JA595"/>
      <c r="JB595"/>
      <c r="JC595"/>
      <c r="JD595"/>
      <c r="JE595"/>
      <c r="JF595"/>
      <c r="JG595"/>
      <c r="JH595"/>
      <c r="JI595"/>
      <c r="JJ595"/>
      <c r="JK595"/>
      <c r="JL595"/>
      <c r="JM595"/>
      <c r="JN595"/>
      <c r="JO595"/>
      <c r="JP595"/>
      <c r="JQ595"/>
      <c r="JR595"/>
      <c r="JS595"/>
      <c r="JT595"/>
      <c r="JU595"/>
      <c r="JV595"/>
      <c r="JW595"/>
      <c r="JX595"/>
      <c r="JY595"/>
      <c r="JZ595"/>
      <c r="KA595"/>
      <c r="KB595"/>
      <c r="KC595"/>
      <c r="KD595"/>
      <c r="KE595"/>
      <c r="KF595"/>
      <c r="KG595"/>
      <c r="KH595"/>
      <c r="KI595"/>
      <c r="KJ595"/>
      <c r="KK595"/>
      <c r="KL595"/>
      <c r="KM595"/>
      <c r="KN595"/>
      <c r="KO595"/>
      <c r="KP595"/>
      <c r="KQ595"/>
      <c r="KR595"/>
      <c r="KS595"/>
    </row>
    <row r="596" spans="2:305" hidden="1" x14ac:dyDescent="0.25">
      <c r="B596"/>
      <c r="C596"/>
      <c r="D596"/>
      <c r="E596"/>
      <c r="F596"/>
      <c r="G596"/>
      <c r="H596"/>
      <c r="I596"/>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M596"/>
      <c r="CN596"/>
      <c r="CO596"/>
      <c r="CP596"/>
      <c r="CQ596"/>
      <c r="CR596"/>
      <c r="CS596"/>
      <c r="CT596"/>
      <c r="CU596"/>
      <c r="CV596"/>
      <c r="CW596"/>
      <c r="CX596"/>
      <c r="CY596"/>
      <c r="CZ596"/>
      <c r="DA596"/>
      <c r="DB596"/>
      <c r="DC596"/>
      <c r="DD596"/>
      <c r="DE596"/>
      <c r="DF596"/>
      <c r="DG596"/>
      <c r="DH596"/>
      <c r="DI596"/>
      <c r="DJ596"/>
      <c r="DK596"/>
      <c r="DL596"/>
      <c r="DM596"/>
      <c r="DN596"/>
      <c r="DO596"/>
      <c r="DP596"/>
      <c r="DQ596"/>
      <c r="DR596"/>
      <c r="DS596"/>
      <c r="DT596"/>
      <c r="DU596"/>
      <c r="DV596"/>
      <c r="DW596"/>
      <c r="DX596"/>
      <c r="DY596"/>
      <c r="DZ596"/>
      <c r="EA596"/>
      <c r="EB596"/>
      <c r="EC596"/>
      <c r="ED596"/>
      <c r="EE596"/>
      <c r="EF596"/>
      <c r="EG596"/>
      <c r="EH596"/>
      <c r="EI596"/>
      <c r="EJ596"/>
      <c r="EK596"/>
      <c r="EL596"/>
      <c r="EM596"/>
      <c r="EN596"/>
      <c r="EO596"/>
      <c r="EP596"/>
      <c r="EQ596"/>
      <c r="ER596"/>
      <c r="ES596"/>
      <c r="ET596"/>
      <c r="EU596"/>
      <c r="EV596"/>
      <c r="EW596"/>
      <c r="EX596"/>
      <c r="EY596"/>
      <c r="EZ596"/>
      <c r="FA596"/>
      <c r="FB596"/>
      <c r="FC596"/>
      <c r="FD596"/>
      <c r="FE596"/>
      <c r="FF596"/>
      <c r="FG596"/>
      <c r="FH596"/>
      <c r="FI596"/>
      <c r="FJ596"/>
      <c r="FK596"/>
      <c r="FL596"/>
      <c r="FM596"/>
      <c r="FN596"/>
      <c r="FO596"/>
      <c r="FP596"/>
      <c r="FQ596"/>
      <c r="FR596"/>
      <c r="FS596"/>
      <c r="FT596"/>
      <c r="FU596"/>
      <c r="FV596"/>
      <c r="FW596"/>
      <c r="FX596"/>
      <c r="FY596"/>
      <c r="FZ596"/>
      <c r="GA596"/>
      <c r="GB596"/>
      <c r="GC596"/>
      <c r="GD596"/>
      <c r="GE596"/>
      <c r="GF596"/>
      <c r="GG596"/>
      <c r="GH596"/>
      <c r="GI596"/>
      <c r="GJ596"/>
      <c r="GK596"/>
      <c r="GL596"/>
      <c r="GM596"/>
      <c r="GN596"/>
      <c r="GO596"/>
      <c r="GP596"/>
      <c r="GQ596"/>
      <c r="GR596"/>
      <c r="GS596"/>
      <c r="GT596"/>
      <c r="GU596"/>
      <c r="GV596"/>
      <c r="GW596"/>
      <c r="GX596"/>
      <c r="GY596"/>
      <c r="GZ596"/>
      <c r="HA596"/>
      <c r="HB596"/>
      <c r="HC596"/>
      <c r="HD596"/>
      <c r="HE596"/>
      <c r="HF596"/>
      <c r="HG596"/>
      <c r="HH596"/>
      <c r="HI596"/>
      <c r="HJ596"/>
      <c r="HK596"/>
      <c r="HL596"/>
      <c r="HM596"/>
      <c r="HN596"/>
      <c r="HO596"/>
      <c r="HP596"/>
      <c r="HQ596"/>
      <c r="HR596"/>
      <c r="HS596"/>
      <c r="HT596"/>
      <c r="HU596"/>
      <c r="HV596"/>
      <c r="HW596"/>
      <c r="HX596"/>
      <c r="HY596"/>
      <c r="HZ596"/>
      <c r="IA596"/>
      <c r="IB596"/>
      <c r="IC596"/>
      <c r="ID596"/>
      <c r="IE596"/>
      <c r="IF596"/>
      <c r="IG596"/>
      <c r="IH596"/>
      <c r="II596"/>
      <c r="IJ596"/>
      <c r="IK596"/>
      <c r="IL596"/>
      <c r="IM596"/>
      <c r="IN596"/>
      <c r="IO596"/>
      <c r="IP596"/>
      <c r="IQ596"/>
      <c r="IR596"/>
      <c r="IS596"/>
      <c r="IT596"/>
      <c r="IU596"/>
      <c r="IV596"/>
      <c r="IW596"/>
      <c r="IX596"/>
      <c r="IY596"/>
      <c r="IZ596"/>
      <c r="JA596"/>
      <c r="JB596"/>
      <c r="JC596"/>
      <c r="JD596"/>
      <c r="JE596"/>
      <c r="JF596"/>
      <c r="JG596"/>
      <c r="JH596"/>
      <c r="JI596"/>
      <c r="JJ596"/>
      <c r="JK596"/>
      <c r="JL596"/>
      <c r="JM596"/>
      <c r="JN596"/>
      <c r="JO596"/>
      <c r="JP596"/>
      <c r="JQ596"/>
      <c r="JR596"/>
      <c r="JS596"/>
      <c r="JT596"/>
      <c r="JU596"/>
      <c r="JV596"/>
      <c r="JW596"/>
      <c r="JX596"/>
      <c r="JY596"/>
      <c r="JZ596"/>
      <c r="KA596"/>
      <c r="KB596"/>
      <c r="KC596"/>
      <c r="KD596"/>
      <c r="KE596"/>
      <c r="KF596"/>
      <c r="KG596"/>
      <c r="KH596"/>
      <c r="KI596"/>
      <c r="KJ596"/>
      <c r="KK596"/>
      <c r="KL596"/>
      <c r="KM596"/>
      <c r="KN596"/>
      <c r="KO596"/>
      <c r="KP596"/>
      <c r="KQ596"/>
      <c r="KR596"/>
      <c r="KS596"/>
    </row>
    <row r="597" spans="2:305" hidden="1" x14ac:dyDescent="0.25">
      <c r="B597"/>
      <c r="C597"/>
      <c r="D597"/>
      <c r="E597"/>
      <c r="F597"/>
      <c r="G597"/>
      <c r="H597"/>
      <c r="I597"/>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M597"/>
      <c r="CN597"/>
      <c r="CO597"/>
      <c r="CP597"/>
      <c r="CQ597"/>
      <c r="CR597"/>
      <c r="CS597"/>
      <c r="CT597"/>
      <c r="CU597"/>
      <c r="CV597"/>
      <c r="CW597"/>
      <c r="CX597"/>
      <c r="CY597"/>
      <c r="CZ597"/>
      <c r="DA597"/>
      <c r="DB597"/>
      <c r="DC597"/>
      <c r="DD597"/>
      <c r="DE597"/>
      <c r="DF597"/>
      <c r="DG597"/>
      <c r="DH597"/>
      <c r="DI597"/>
      <c r="DJ597"/>
      <c r="DK597"/>
      <c r="DL597"/>
      <c r="DM597"/>
      <c r="DN597"/>
      <c r="DO597"/>
      <c r="DP597"/>
      <c r="DQ597"/>
      <c r="DR597"/>
      <c r="DS597"/>
      <c r="DT597"/>
      <c r="DU597"/>
      <c r="DV597"/>
      <c r="DW597"/>
      <c r="DX597"/>
      <c r="DY597"/>
      <c r="DZ597"/>
      <c r="EA597"/>
      <c r="EB597"/>
      <c r="EC597"/>
      <c r="ED597"/>
      <c r="EE597"/>
      <c r="EF597"/>
      <c r="EG597"/>
      <c r="EH597"/>
      <c r="EI597"/>
      <c r="EJ597"/>
      <c r="EK597"/>
      <c r="EL597"/>
      <c r="EM597"/>
      <c r="EN597"/>
      <c r="EO597"/>
      <c r="EP597"/>
      <c r="EQ597"/>
      <c r="ER597"/>
      <c r="ES597"/>
      <c r="ET597"/>
      <c r="EU597"/>
      <c r="EV597"/>
      <c r="EW597"/>
      <c r="EX597"/>
      <c r="EY597"/>
      <c r="EZ597"/>
      <c r="FA597"/>
      <c r="FB597"/>
      <c r="FC597"/>
      <c r="FD597"/>
      <c r="FE597"/>
      <c r="FF597"/>
      <c r="FG597"/>
      <c r="FH597"/>
      <c r="FI597"/>
      <c r="FJ597"/>
      <c r="FK597"/>
      <c r="FL597"/>
      <c r="FM597"/>
      <c r="FN597"/>
      <c r="FO597"/>
      <c r="FP597"/>
      <c r="FQ597"/>
      <c r="FR597"/>
      <c r="FS597"/>
      <c r="FT597"/>
      <c r="FU597"/>
      <c r="FV597"/>
      <c r="FW597"/>
      <c r="FX597"/>
      <c r="FY597"/>
      <c r="FZ597"/>
      <c r="GA597"/>
      <c r="GB597"/>
      <c r="GC597"/>
      <c r="GD597"/>
      <c r="GE597"/>
      <c r="GF597"/>
      <c r="GG597"/>
      <c r="GH597"/>
      <c r="GI597"/>
      <c r="GJ597"/>
      <c r="GK597"/>
      <c r="GL597"/>
      <c r="GM597"/>
      <c r="GN597"/>
      <c r="GO597"/>
      <c r="GP597"/>
      <c r="GQ597"/>
      <c r="GR597"/>
      <c r="GS597"/>
      <c r="GT597"/>
      <c r="GU597"/>
      <c r="GV597"/>
      <c r="GW597"/>
      <c r="GX597"/>
      <c r="GY597"/>
      <c r="GZ597"/>
      <c r="HA597"/>
      <c r="HB597"/>
      <c r="HC597"/>
      <c r="HD597"/>
      <c r="HE597"/>
      <c r="HF597"/>
      <c r="HG597"/>
      <c r="HH597"/>
      <c r="HI597"/>
      <c r="HJ597"/>
      <c r="HK597"/>
      <c r="HL597"/>
      <c r="HM597"/>
      <c r="HN597"/>
      <c r="HO597"/>
      <c r="HP597"/>
      <c r="HQ597"/>
      <c r="HR597"/>
      <c r="HS597"/>
      <c r="HT597"/>
      <c r="HU597"/>
      <c r="HV597"/>
      <c r="HW597"/>
      <c r="HX597"/>
      <c r="HY597"/>
      <c r="HZ597"/>
      <c r="IA597"/>
      <c r="IB597"/>
      <c r="IC597"/>
      <c r="ID597"/>
      <c r="IE597"/>
      <c r="IF597"/>
      <c r="IG597"/>
      <c r="IH597"/>
      <c r="II597"/>
      <c r="IJ597"/>
      <c r="IK597"/>
      <c r="IL597"/>
      <c r="IM597"/>
      <c r="IN597"/>
      <c r="IO597"/>
      <c r="IP597"/>
      <c r="IQ597"/>
      <c r="IR597"/>
      <c r="IS597"/>
      <c r="IT597"/>
      <c r="IU597"/>
      <c r="IV597"/>
      <c r="IW597"/>
      <c r="IX597"/>
      <c r="IY597"/>
      <c r="IZ597"/>
      <c r="JA597"/>
      <c r="JB597"/>
      <c r="JC597"/>
      <c r="JD597"/>
      <c r="JE597"/>
      <c r="JF597"/>
      <c r="JG597"/>
      <c r="JH597"/>
      <c r="JI597"/>
      <c r="JJ597"/>
      <c r="JK597"/>
      <c r="JL597"/>
      <c r="JM597"/>
      <c r="JN597"/>
      <c r="JO597"/>
      <c r="JP597"/>
      <c r="JQ597"/>
      <c r="JR597"/>
      <c r="JS597"/>
      <c r="JT597"/>
      <c r="JU597"/>
      <c r="JV597"/>
      <c r="JW597"/>
      <c r="JX597"/>
      <c r="JY597"/>
      <c r="JZ597"/>
      <c r="KA597"/>
      <c r="KB597"/>
      <c r="KC597"/>
      <c r="KD597"/>
      <c r="KE597"/>
      <c r="KF597"/>
      <c r="KG597"/>
      <c r="KH597"/>
      <c r="KI597"/>
      <c r="KJ597"/>
      <c r="KK597"/>
      <c r="KL597"/>
      <c r="KM597"/>
      <c r="KN597"/>
      <c r="KO597"/>
      <c r="KP597"/>
      <c r="KQ597"/>
      <c r="KR597"/>
      <c r="KS597"/>
    </row>
    <row r="598" spans="2:305" hidden="1" x14ac:dyDescent="0.25">
      <c r="B598"/>
      <c r="C598"/>
      <c r="D598"/>
      <c r="E598"/>
      <c r="F598"/>
      <c r="G598"/>
      <c r="H598"/>
      <c r="I598"/>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M598"/>
      <c r="CN598"/>
      <c r="CO598"/>
      <c r="CP598"/>
      <c r="CQ598"/>
      <c r="CR598"/>
      <c r="CS598"/>
      <c r="CT598"/>
      <c r="CU598"/>
      <c r="CV598"/>
      <c r="CW598"/>
      <c r="CX598"/>
      <c r="CY598"/>
      <c r="CZ598"/>
      <c r="DA598"/>
      <c r="DB598"/>
      <c r="DC598"/>
      <c r="DD598"/>
      <c r="DE598"/>
      <c r="DF598"/>
      <c r="DG598"/>
      <c r="DH598"/>
      <c r="DI598"/>
      <c r="DJ598"/>
      <c r="DK598"/>
      <c r="DL598"/>
      <c r="DM598"/>
      <c r="DN598"/>
      <c r="DO598"/>
      <c r="DP598"/>
      <c r="DQ598"/>
      <c r="DR598"/>
      <c r="DS598"/>
      <c r="DT598"/>
      <c r="DU598"/>
      <c r="DV598"/>
      <c r="DW598"/>
      <c r="DX598"/>
      <c r="DY598"/>
      <c r="DZ598"/>
      <c r="EA598"/>
      <c r="EB598"/>
      <c r="EC598"/>
      <c r="ED598"/>
      <c r="EE598"/>
      <c r="EF598"/>
      <c r="EG598"/>
      <c r="EH598"/>
      <c r="EI598"/>
      <c r="EJ598"/>
      <c r="EK598"/>
      <c r="EL598"/>
      <c r="EM598"/>
      <c r="EN598"/>
      <c r="EO598"/>
      <c r="EP598"/>
      <c r="EQ598"/>
      <c r="ER598"/>
      <c r="ES598"/>
      <c r="ET598"/>
      <c r="EU598"/>
      <c r="EV598"/>
      <c r="EW598"/>
      <c r="EX598"/>
      <c r="EY598"/>
      <c r="EZ598"/>
      <c r="FA598"/>
      <c r="FB598"/>
      <c r="FC598"/>
      <c r="FD598"/>
      <c r="FE598"/>
      <c r="FF598"/>
      <c r="FG598"/>
      <c r="FH598"/>
      <c r="FI598"/>
      <c r="FJ598"/>
      <c r="FK598"/>
      <c r="FL598"/>
      <c r="FM598"/>
      <c r="FN598"/>
      <c r="FO598"/>
      <c r="FP598"/>
      <c r="FQ598"/>
      <c r="FR598"/>
      <c r="FS598"/>
      <c r="FT598"/>
      <c r="FU598"/>
      <c r="FV598"/>
      <c r="FW598"/>
      <c r="FX598"/>
      <c r="FY598"/>
      <c r="FZ598"/>
      <c r="GA598"/>
      <c r="GB598"/>
      <c r="GC598"/>
      <c r="GD598"/>
      <c r="GE598"/>
      <c r="GF598"/>
      <c r="GG598"/>
      <c r="GH598"/>
      <c r="GI598"/>
      <c r="GJ598"/>
      <c r="GK598"/>
      <c r="GL598"/>
      <c r="GM598"/>
      <c r="GN598"/>
      <c r="GO598"/>
      <c r="GP598"/>
      <c r="GQ598"/>
      <c r="GR598"/>
      <c r="GS598"/>
      <c r="GT598"/>
      <c r="GU598"/>
      <c r="GV598"/>
      <c r="GW598"/>
      <c r="GX598"/>
      <c r="GY598"/>
      <c r="GZ598"/>
      <c r="HA598"/>
      <c r="HB598"/>
      <c r="HC598"/>
      <c r="HD598"/>
      <c r="HE598"/>
      <c r="HF598"/>
      <c r="HG598"/>
      <c r="HH598"/>
      <c r="HI598"/>
      <c r="HJ598"/>
      <c r="HK598"/>
      <c r="HL598"/>
      <c r="HM598"/>
      <c r="HN598"/>
      <c r="HO598"/>
      <c r="HP598"/>
      <c r="HQ598"/>
      <c r="HR598"/>
      <c r="HS598"/>
      <c r="HT598"/>
      <c r="HU598"/>
      <c r="HV598"/>
      <c r="HW598"/>
      <c r="HX598"/>
      <c r="HY598"/>
      <c r="HZ598"/>
      <c r="IA598"/>
      <c r="IB598"/>
      <c r="IC598"/>
      <c r="ID598"/>
      <c r="IE598"/>
      <c r="IF598"/>
      <c r="IG598"/>
      <c r="IH598"/>
      <c r="II598"/>
      <c r="IJ598"/>
      <c r="IK598"/>
      <c r="IL598"/>
      <c r="IM598"/>
      <c r="IN598"/>
      <c r="IO598"/>
      <c r="IP598"/>
      <c r="IQ598"/>
      <c r="IR598"/>
      <c r="IS598"/>
      <c r="IT598"/>
      <c r="IU598"/>
      <c r="IV598"/>
      <c r="IW598"/>
      <c r="IX598"/>
      <c r="IY598"/>
      <c r="IZ598"/>
      <c r="JA598"/>
      <c r="JB598"/>
      <c r="JC598"/>
      <c r="JD598"/>
      <c r="JE598"/>
      <c r="JF598"/>
      <c r="JG598"/>
      <c r="JH598"/>
      <c r="JI598"/>
      <c r="JJ598"/>
      <c r="JK598"/>
      <c r="JL598"/>
      <c r="JM598"/>
      <c r="JN598"/>
      <c r="JO598"/>
      <c r="JP598"/>
      <c r="JQ598"/>
      <c r="JR598"/>
      <c r="JS598"/>
      <c r="JT598"/>
      <c r="JU598"/>
      <c r="JV598"/>
      <c r="JW598"/>
      <c r="JX598"/>
      <c r="JY598"/>
      <c r="JZ598"/>
      <c r="KA598"/>
      <c r="KB598"/>
      <c r="KC598"/>
      <c r="KD598"/>
      <c r="KE598"/>
      <c r="KF598"/>
      <c r="KG598"/>
      <c r="KH598"/>
      <c r="KI598"/>
      <c r="KJ598"/>
      <c r="KK598"/>
      <c r="KL598"/>
      <c r="KM598"/>
      <c r="KN598"/>
      <c r="KO598"/>
      <c r="KP598"/>
      <c r="KQ598"/>
      <c r="KR598"/>
      <c r="KS598"/>
    </row>
    <row r="599" spans="2:305" hidden="1" x14ac:dyDescent="0.25">
      <c r="B599"/>
      <c r="C599"/>
      <c r="D599"/>
      <c r="E599"/>
      <c r="F599"/>
      <c r="G599"/>
      <c r="H599"/>
      <c r="I599"/>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M599"/>
      <c r="CN599"/>
      <c r="CO599"/>
      <c r="CP599"/>
      <c r="CQ599"/>
      <c r="CR599"/>
      <c r="CS599"/>
      <c r="CT599"/>
      <c r="CU599"/>
      <c r="CV599"/>
      <c r="CW599"/>
      <c r="CX599"/>
      <c r="CY599"/>
      <c r="CZ599"/>
      <c r="DA599"/>
      <c r="DB599"/>
      <c r="DC599"/>
      <c r="DD599"/>
      <c r="DE599"/>
      <c r="DF599"/>
      <c r="DG599"/>
      <c r="DH599"/>
      <c r="DI599"/>
      <c r="DJ599"/>
      <c r="DK599"/>
      <c r="DL599"/>
      <c r="DM599"/>
      <c r="DN599"/>
      <c r="DO599"/>
      <c r="DP599"/>
      <c r="DQ599"/>
      <c r="DR599"/>
      <c r="DS599"/>
      <c r="DT599"/>
      <c r="DU599"/>
      <c r="DV599"/>
      <c r="DW599"/>
      <c r="DX599"/>
      <c r="DY599"/>
      <c r="DZ599"/>
      <c r="EA599"/>
      <c r="EB599"/>
      <c r="EC599"/>
      <c r="ED599"/>
      <c r="EE599"/>
      <c r="EF599"/>
      <c r="EG599"/>
      <c r="EH599"/>
      <c r="EI599"/>
      <c r="EJ599"/>
      <c r="EK599"/>
      <c r="EL599"/>
      <c r="EM599"/>
      <c r="EN599"/>
      <c r="EO599"/>
      <c r="EP599"/>
      <c r="EQ599"/>
      <c r="ER599"/>
      <c r="ES599"/>
      <c r="ET599"/>
      <c r="EU599"/>
      <c r="EV599"/>
      <c r="EW599"/>
      <c r="EX599"/>
      <c r="EY599"/>
      <c r="EZ599"/>
      <c r="FA599"/>
      <c r="FB599"/>
      <c r="FC599"/>
      <c r="FD599"/>
      <c r="FE599"/>
      <c r="FF599"/>
      <c r="FG599"/>
      <c r="FH599"/>
      <c r="FI599"/>
      <c r="FJ599"/>
      <c r="FK599"/>
      <c r="FL599"/>
      <c r="FM599"/>
      <c r="FN599"/>
      <c r="FO599"/>
      <c r="FP599"/>
      <c r="FQ599"/>
      <c r="FR599"/>
      <c r="FS599"/>
      <c r="FT599"/>
      <c r="FU599"/>
      <c r="FV599"/>
      <c r="FW599"/>
      <c r="FX599"/>
      <c r="FY599"/>
      <c r="FZ599"/>
      <c r="GA599"/>
      <c r="GB599"/>
      <c r="GC599"/>
      <c r="GD599"/>
      <c r="GE599"/>
      <c r="GF599"/>
      <c r="GG599"/>
      <c r="GH599"/>
      <c r="GI599"/>
      <c r="GJ599"/>
      <c r="GK599"/>
      <c r="GL599"/>
      <c r="GM599"/>
      <c r="GN599"/>
      <c r="GO599"/>
      <c r="GP599"/>
      <c r="GQ599"/>
      <c r="GR599"/>
      <c r="GS599"/>
      <c r="GT599"/>
      <c r="GU599"/>
      <c r="GV599"/>
      <c r="GW599"/>
      <c r="GX599"/>
      <c r="GY599"/>
      <c r="GZ599"/>
      <c r="HA599"/>
      <c r="HB599"/>
      <c r="HC599"/>
      <c r="HD599"/>
      <c r="HE599"/>
      <c r="HF599"/>
      <c r="HG599"/>
      <c r="HH599"/>
      <c r="HI599"/>
      <c r="HJ599"/>
      <c r="HK599"/>
      <c r="HL599"/>
      <c r="HM599"/>
      <c r="HN599"/>
      <c r="HO599"/>
      <c r="HP599"/>
      <c r="HQ599"/>
      <c r="HR599"/>
      <c r="HS599"/>
      <c r="HT599"/>
      <c r="HU599"/>
      <c r="HV599"/>
      <c r="HW599"/>
      <c r="HX599"/>
      <c r="HY599"/>
      <c r="HZ599"/>
      <c r="IA599"/>
      <c r="IB599"/>
      <c r="IC599"/>
      <c r="ID599"/>
      <c r="IE599"/>
      <c r="IF599"/>
      <c r="IG599"/>
      <c r="IH599"/>
      <c r="II599"/>
      <c r="IJ599"/>
      <c r="IK599"/>
      <c r="IL599"/>
      <c r="IM599"/>
      <c r="IN599"/>
      <c r="IO599"/>
      <c r="IP599"/>
      <c r="IQ599"/>
      <c r="IR599"/>
      <c r="IS599"/>
      <c r="IT599"/>
      <c r="IU599"/>
      <c r="IV599"/>
      <c r="IW599"/>
      <c r="IX599"/>
      <c r="IY599"/>
      <c r="IZ599"/>
      <c r="JA599"/>
      <c r="JB599"/>
      <c r="JC599"/>
      <c r="JD599"/>
      <c r="JE599"/>
      <c r="JF599"/>
      <c r="JG599"/>
      <c r="JH599"/>
      <c r="JI599"/>
      <c r="JJ599"/>
      <c r="JK599"/>
      <c r="JL599"/>
      <c r="JM599"/>
      <c r="JN599"/>
      <c r="JO599"/>
      <c r="JP599"/>
      <c r="JQ599"/>
      <c r="JR599"/>
      <c r="JS599"/>
      <c r="JT599"/>
      <c r="JU599"/>
      <c r="JV599"/>
      <c r="JW599"/>
      <c r="JX599"/>
      <c r="JY599"/>
      <c r="JZ599"/>
      <c r="KA599"/>
      <c r="KB599"/>
      <c r="KC599"/>
      <c r="KD599"/>
      <c r="KE599"/>
      <c r="KF599"/>
      <c r="KG599"/>
      <c r="KH599"/>
      <c r="KI599"/>
      <c r="KJ599"/>
      <c r="KK599"/>
      <c r="KL599"/>
      <c r="KM599"/>
      <c r="KN599"/>
      <c r="KO599"/>
      <c r="KP599"/>
      <c r="KQ599"/>
      <c r="KR599"/>
      <c r="KS599"/>
    </row>
    <row r="600" spans="2:305" hidden="1" x14ac:dyDescent="0.25">
      <c r="B600"/>
      <c r="C600"/>
      <c r="D600"/>
      <c r="E600"/>
      <c r="F600"/>
      <c r="G600"/>
      <c r="H600"/>
      <c r="I600"/>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M600"/>
      <c r="CN600"/>
      <c r="CO600"/>
      <c r="CP600"/>
      <c r="CQ600"/>
      <c r="CR600"/>
      <c r="CS600"/>
      <c r="CT600"/>
      <c r="CU600"/>
      <c r="CV600"/>
      <c r="CW600"/>
      <c r="CX600"/>
      <c r="CY600"/>
      <c r="CZ600"/>
      <c r="DA600"/>
      <c r="DB600"/>
      <c r="DC600"/>
      <c r="DD600"/>
      <c r="DE600"/>
      <c r="DF600"/>
      <c r="DG600"/>
      <c r="DH600"/>
      <c r="DI600"/>
      <c r="DJ600"/>
      <c r="DK600"/>
      <c r="DL600"/>
      <c r="DM600"/>
      <c r="DN600"/>
      <c r="DO600"/>
      <c r="DP600"/>
      <c r="DQ600"/>
      <c r="DR600"/>
      <c r="DS600"/>
      <c r="DT600"/>
      <c r="DU600"/>
      <c r="DV600"/>
      <c r="DW600"/>
      <c r="DX600"/>
      <c r="DY600"/>
      <c r="DZ600"/>
      <c r="EA600"/>
      <c r="EB600"/>
      <c r="EC600"/>
      <c r="ED600"/>
      <c r="EE600"/>
      <c r="EF600"/>
      <c r="EG600"/>
      <c r="EH600"/>
      <c r="EI600"/>
      <c r="EJ600"/>
      <c r="EK600"/>
      <c r="EL600"/>
      <c r="EM600"/>
      <c r="EN600"/>
      <c r="EO600"/>
      <c r="EP600"/>
      <c r="EQ600"/>
      <c r="ER600"/>
      <c r="ES600"/>
      <c r="ET600"/>
      <c r="EU600"/>
      <c r="EV600"/>
      <c r="EW600"/>
      <c r="EX600"/>
      <c r="EY600"/>
      <c r="EZ600"/>
      <c r="FA600"/>
      <c r="FB600"/>
      <c r="FC600"/>
      <c r="FD600"/>
      <c r="FE600"/>
      <c r="FF600"/>
      <c r="FG600"/>
      <c r="FH600"/>
      <c r="FI600"/>
      <c r="FJ600"/>
      <c r="FK600"/>
      <c r="FL600"/>
      <c r="FM600"/>
      <c r="FN600"/>
      <c r="FO600"/>
      <c r="FP600"/>
      <c r="FQ600"/>
      <c r="FR600"/>
      <c r="FS600"/>
      <c r="FT600"/>
      <c r="FU600"/>
      <c r="FV600"/>
      <c r="FW600"/>
      <c r="FX600"/>
      <c r="FY600"/>
      <c r="FZ600"/>
      <c r="GA600"/>
      <c r="GB600"/>
      <c r="GC600"/>
      <c r="GD600"/>
      <c r="GE600"/>
      <c r="GF600"/>
      <c r="GG600"/>
      <c r="GH600"/>
      <c r="GI600"/>
      <c r="GJ600"/>
      <c r="GK600"/>
      <c r="GL600"/>
      <c r="GM600"/>
      <c r="GN600"/>
      <c r="GO600"/>
      <c r="GP600"/>
      <c r="GQ600"/>
      <c r="GR600"/>
      <c r="GS600"/>
      <c r="GT600"/>
      <c r="GU600"/>
      <c r="GV600"/>
      <c r="GW600"/>
      <c r="GX600"/>
      <c r="GY600"/>
      <c r="GZ600"/>
      <c r="HA600"/>
      <c r="HB600"/>
      <c r="HC600"/>
      <c r="HD600"/>
      <c r="HE600"/>
      <c r="HF600"/>
      <c r="HG600"/>
      <c r="HH600"/>
      <c r="HI600"/>
      <c r="HJ600"/>
      <c r="HK600"/>
      <c r="HL600"/>
      <c r="HM600"/>
      <c r="HN600"/>
      <c r="HO600"/>
      <c r="HP600"/>
      <c r="HQ600"/>
      <c r="HR600"/>
      <c r="HS600"/>
      <c r="HT600"/>
      <c r="HU600"/>
      <c r="HV600"/>
      <c r="HW600"/>
      <c r="HX600"/>
      <c r="HY600"/>
      <c r="HZ600"/>
      <c r="IA600"/>
      <c r="IB600"/>
      <c r="IC600"/>
      <c r="ID600"/>
      <c r="IE600"/>
      <c r="IF600"/>
      <c r="IG600"/>
      <c r="IH600"/>
      <c r="II600"/>
      <c r="IJ600"/>
      <c r="IK600"/>
      <c r="IL600"/>
      <c r="IM600"/>
      <c r="IN600"/>
      <c r="IO600"/>
      <c r="IP600"/>
      <c r="IQ600"/>
      <c r="IR600"/>
      <c r="IS600"/>
      <c r="IT600"/>
      <c r="IU600"/>
      <c r="IV600"/>
      <c r="IW600"/>
      <c r="IX600"/>
      <c r="IY600"/>
      <c r="IZ600"/>
      <c r="JA600"/>
      <c r="JB600"/>
      <c r="JC600"/>
      <c r="JD600"/>
      <c r="JE600"/>
      <c r="JF600"/>
      <c r="JG600"/>
      <c r="JH600"/>
      <c r="JI600"/>
      <c r="JJ600"/>
      <c r="JK600"/>
      <c r="JL600"/>
      <c r="JM600"/>
      <c r="JN600"/>
      <c r="JO600"/>
      <c r="JP600"/>
      <c r="JQ600"/>
      <c r="JR600"/>
      <c r="JS600"/>
      <c r="JT600"/>
      <c r="JU600"/>
      <c r="JV600"/>
      <c r="JW600"/>
      <c r="JX600"/>
      <c r="JY600"/>
      <c r="JZ600"/>
      <c r="KA600"/>
      <c r="KB600"/>
      <c r="KC600"/>
      <c r="KD600"/>
      <c r="KE600"/>
      <c r="KF600"/>
      <c r="KG600"/>
      <c r="KH600"/>
      <c r="KI600"/>
      <c r="KJ600"/>
      <c r="KK600"/>
      <c r="KL600"/>
      <c r="KM600"/>
      <c r="KN600"/>
      <c r="KO600"/>
      <c r="KP600"/>
      <c r="KQ600"/>
      <c r="KR600"/>
      <c r="KS600"/>
    </row>
    <row r="601" spans="2:305" hidden="1" x14ac:dyDescent="0.25">
      <c r="B601"/>
      <c r="C601"/>
      <c r="D601"/>
      <c r="E601"/>
      <c r="F601"/>
      <c r="G601"/>
      <c r="H601"/>
      <c r="I601"/>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M601"/>
      <c r="CN601"/>
      <c r="CO601"/>
      <c r="CP601"/>
      <c r="CQ601"/>
      <c r="CR601"/>
      <c r="CS601"/>
      <c r="CT601"/>
      <c r="CU601"/>
      <c r="CV601"/>
      <c r="CW601"/>
      <c r="CX601"/>
      <c r="CY601"/>
      <c r="CZ601"/>
      <c r="DA601"/>
      <c r="DB601"/>
      <c r="DC601"/>
      <c r="DD601"/>
      <c r="DE601"/>
      <c r="DF601"/>
      <c r="DG601"/>
      <c r="DH601"/>
      <c r="DI601"/>
      <c r="DJ601"/>
      <c r="DK601"/>
      <c r="DL601"/>
      <c r="DM601"/>
      <c r="DN601"/>
      <c r="DO601"/>
      <c r="DP601"/>
      <c r="DQ601"/>
      <c r="DR601"/>
      <c r="DS601"/>
      <c r="DT601"/>
      <c r="DU601"/>
      <c r="DV601"/>
      <c r="DW601"/>
      <c r="DX601"/>
      <c r="DY601"/>
      <c r="DZ601"/>
      <c r="EA601"/>
      <c r="EB601"/>
      <c r="EC601"/>
      <c r="ED601"/>
      <c r="EE601"/>
      <c r="EF601"/>
      <c r="EG601"/>
      <c r="EH601"/>
      <c r="EI601"/>
      <c r="EJ601"/>
      <c r="EK601"/>
      <c r="EL601"/>
      <c r="EM601"/>
      <c r="EN601"/>
      <c r="EO601"/>
      <c r="EP601"/>
      <c r="EQ601"/>
      <c r="ER601"/>
      <c r="ES601"/>
      <c r="ET601"/>
      <c r="EU601"/>
      <c r="EV601"/>
      <c r="EW601"/>
      <c r="EX601"/>
      <c r="EY601"/>
      <c r="EZ601"/>
      <c r="FA601"/>
      <c r="FB601"/>
      <c r="FC601"/>
      <c r="FD601"/>
      <c r="FE601"/>
      <c r="FF601"/>
      <c r="FG601"/>
      <c r="FH601"/>
      <c r="FI601"/>
      <c r="FJ601"/>
      <c r="FK601"/>
      <c r="FL601"/>
      <c r="FM601"/>
      <c r="FN601"/>
      <c r="FO601"/>
      <c r="FP601"/>
      <c r="FQ601"/>
      <c r="FR601"/>
      <c r="FS601"/>
      <c r="FT601"/>
      <c r="FU601"/>
      <c r="FV601"/>
      <c r="FW601"/>
      <c r="FX601"/>
      <c r="FY601"/>
      <c r="FZ601"/>
      <c r="GA601"/>
      <c r="GB601"/>
      <c r="GC601"/>
      <c r="GD601"/>
      <c r="GE601"/>
      <c r="GF601"/>
      <c r="GG601"/>
      <c r="GH601"/>
      <c r="GI601"/>
      <c r="GJ601"/>
      <c r="GK601"/>
      <c r="GL601"/>
      <c r="GM601"/>
      <c r="GN601"/>
      <c r="GO601"/>
      <c r="GP601"/>
      <c r="GQ601"/>
      <c r="GR601"/>
      <c r="GS601"/>
      <c r="GT601"/>
      <c r="GU601"/>
      <c r="GV601"/>
      <c r="GW601"/>
      <c r="GX601"/>
      <c r="GY601"/>
      <c r="GZ601"/>
      <c r="HA601"/>
      <c r="HB601"/>
      <c r="HC601"/>
      <c r="HD601"/>
      <c r="HE601"/>
      <c r="HF601"/>
      <c r="HG601"/>
      <c r="HH601"/>
      <c r="HI601"/>
      <c r="HJ601"/>
      <c r="HK601"/>
      <c r="HL601"/>
      <c r="HM601"/>
      <c r="HN601"/>
      <c r="HO601"/>
      <c r="HP601"/>
      <c r="HQ601"/>
      <c r="HR601"/>
      <c r="HS601"/>
      <c r="HT601"/>
      <c r="HU601"/>
      <c r="HV601"/>
      <c r="HW601"/>
      <c r="HX601"/>
      <c r="HY601"/>
      <c r="HZ601"/>
      <c r="IA601"/>
      <c r="IB601"/>
      <c r="IC601"/>
      <c r="ID601"/>
      <c r="IE601"/>
      <c r="IF601"/>
      <c r="IG601"/>
      <c r="IH601"/>
      <c r="II601"/>
      <c r="IJ601"/>
      <c r="IK601"/>
      <c r="IL601"/>
      <c r="IM601"/>
      <c r="IN601"/>
      <c r="IO601"/>
      <c r="IP601"/>
      <c r="IQ601"/>
      <c r="IR601"/>
      <c r="IS601"/>
      <c r="IT601"/>
      <c r="IU601"/>
      <c r="IV601"/>
      <c r="IW601"/>
      <c r="IX601"/>
      <c r="IY601"/>
      <c r="IZ601"/>
      <c r="JA601"/>
      <c r="JB601"/>
      <c r="JC601"/>
      <c r="JD601"/>
      <c r="JE601"/>
      <c r="JF601"/>
      <c r="JG601"/>
      <c r="JH601"/>
      <c r="JI601"/>
      <c r="JJ601"/>
      <c r="JK601"/>
      <c r="JL601"/>
      <c r="JM601"/>
      <c r="JN601"/>
      <c r="JO601"/>
      <c r="JP601"/>
      <c r="JQ601"/>
      <c r="JR601"/>
      <c r="JS601"/>
      <c r="JT601"/>
      <c r="JU601"/>
      <c r="JV601"/>
      <c r="JW601"/>
      <c r="JX601"/>
      <c r="JY601"/>
      <c r="JZ601"/>
      <c r="KA601"/>
      <c r="KB601"/>
      <c r="KC601"/>
      <c r="KD601"/>
      <c r="KE601"/>
      <c r="KF601"/>
      <c r="KG601"/>
      <c r="KH601"/>
      <c r="KI601"/>
      <c r="KJ601"/>
      <c r="KK601"/>
      <c r="KL601"/>
      <c r="KM601"/>
      <c r="KN601"/>
      <c r="KO601"/>
      <c r="KP601"/>
      <c r="KQ601"/>
      <c r="KR601"/>
      <c r="KS601"/>
    </row>
    <row r="602" spans="2:305" hidden="1" x14ac:dyDescent="0.25">
      <c r="B602"/>
      <c r="C602"/>
      <c r="D602"/>
      <c r="E602"/>
      <c r="F602"/>
      <c r="G602"/>
      <c r="H602"/>
      <c r="I602"/>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M602"/>
      <c r="CN602"/>
      <c r="CO602"/>
      <c r="CP602"/>
      <c r="CQ602"/>
      <c r="CR602"/>
      <c r="CS602"/>
      <c r="CT602"/>
      <c r="CU602"/>
      <c r="CV602"/>
      <c r="CW602"/>
      <c r="CX602"/>
      <c r="CY602"/>
      <c r="CZ602"/>
      <c r="DA602"/>
      <c r="DB602"/>
      <c r="DC602"/>
      <c r="DD602"/>
      <c r="DE602"/>
      <c r="DF602"/>
      <c r="DG602"/>
      <c r="DH602"/>
      <c r="DI602"/>
      <c r="DJ602"/>
      <c r="DK602"/>
      <c r="DL602"/>
      <c r="DM602"/>
      <c r="DN602"/>
      <c r="DO602"/>
      <c r="DP602"/>
      <c r="DQ602"/>
      <c r="DR602"/>
      <c r="DS602"/>
      <c r="DT602"/>
      <c r="DU602"/>
      <c r="DV602"/>
      <c r="DW602"/>
      <c r="DX602"/>
      <c r="DY602"/>
      <c r="DZ602"/>
      <c r="EA602"/>
      <c r="EB602"/>
      <c r="EC602"/>
      <c r="ED602"/>
      <c r="EE602"/>
      <c r="EF602"/>
      <c r="EG602"/>
      <c r="EH602"/>
      <c r="EI602"/>
      <c r="EJ602"/>
      <c r="EK602"/>
      <c r="EL602"/>
      <c r="EM602"/>
      <c r="EN602"/>
      <c r="EO602"/>
      <c r="EP602"/>
      <c r="EQ602"/>
      <c r="ER602"/>
      <c r="ES602"/>
      <c r="ET602"/>
      <c r="EU602"/>
      <c r="EV602"/>
      <c r="EW602"/>
      <c r="EX602"/>
      <c r="EY602"/>
      <c r="EZ602"/>
      <c r="FA602"/>
      <c r="FB602"/>
      <c r="FC602"/>
      <c r="FD602"/>
      <c r="FE602"/>
      <c r="FF602"/>
      <c r="FG602"/>
      <c r="FH602"/>
      <c r="FI602"/>
      <c r="FJ602"/>
      <c r="FK602"/>
      <c r="FL602"/>
      <c r="FM602"/>
      <c r="FN602"/>
      <c r="FO602"/>
      <c r="FP602"/>
      <c r="FQ602"/>
      <c r="FR602"/>
      <c r="FS602"/>
      <c r="FT602"/>
      <c r="FU602"/>
      <c r="FV602"/>
      <c r="FW602"/>
      <c r="FX602"/>
      <c r="FY602"/>
      <c r="FZ602"/>
      <c r="GA602"/>
      <c r="GB602"/>
      <c r="GC602"/>
      <c r="GD602"/>
      <c r="GE602"/>
      <c r="GF602"/>
      <c r="GG602"/>
      <c r="GH602"/>
      <c r="GI602"/>
      <c r="GJ602"/>
      <c r="GK602"/>
      <c r="GL602"/>
      <c r="GM602"/>
      <c r="GN602"/>
      <c r="GO602"/>
      <c r="GP602"/>
      <c r="GQ602"/>
      <c r="GR602"/>
      <c r="GS602"/>
      <c r="GT602"/>
      <c r="GU602"/>
      <c r="GV602"/>
      <c r="GW602"/>
      <c r="GX602"/>
      <c r="GY602"/>
      <c r="GZ602"/>
      <c r="HA602"/>
      <c r="HB602"/>
      <c r="HC602"/>
      <c r="HD602"/>
      <c r="HE602"/>
      <c r="HF602"/>
      <c r="HG602"/>
      <c r="HH602"/>
      <c r="HI602"/>
      <c r="HJ602"/>
      <c r="HK602"/>
      <c r="HL602"/>
      <c r="HM602"/>
      <c r="HN602"/>
      <c r="HO602"/>
      <c r="HP602"/>
      <c r="HQ602"/>
      <c r="HR602"/>
      <c r="HS602"/>
      <c r="HT602"/>
      <c r="HU602"/>
      <c r="HV602"/>
      <c r="HW602"/>
      <c r="HX602"/>
      <c r="HY602"/>
      <c r="HZ602"/>
      <c r="IA602"/>
      <c r="IB602"/>
      <c r="IC602"/>
      <c r="ID602"/>
      <c r="IE602"/>
      <c r="IF602"/>
      <c r="IG602"/>
      <c r="IH602"/>
      <c r="II602"/>
      <c r="IJ602"/>
      <c r="IK602"/>
      <c r="IL602"/>
      <c r="IM602"/>
      <c r="IN602"/>
      <c r="IO602"/>
      <c r="IP602"/>
      <c r="IQ602"/>
      <c r="IR602"/>
      <c r="IS602"/>
      <c r="IT602"/>
      <c r="IU602"/>
      <c r="IV602"/>
      <c r="IW602"/>
      <c r="IX602"/>
      <c r="IY602"/>
      <c r="IZ602"/>
      <c r="JA602"/>
      <c r="JB602"/>
      <c r="JC602"/>
      <c r="JD602"/>
      <c r="JE602"/>
      <c r="JF602"/>
      <c r="JG602"/>
      <c r="JH602"/>
      <c r="JI602"/>
      <c r="JJ602"/>
      <c r="JK602"/>
      <c r="JL602"/>
      <c r="JM602"/>
      <c r="JN602"/>
      <c r="JO602"/>
      <c r="JP602"/>
      <c r="JQ602"/>
      <c r="JR602"/>
      <c r="JS602"/>
      <c r="JT602"/>
      <c r="JU602"/>
      <c r="JV602"/>
      <c r="JW602"/>
      <c r="JX602"/>
      <c r="JY602"/>
      <c r="JZ602"/>
      <c r="KA602"/>
      <c r="KB602"/>
      <c r="KC602"/>
      <c r="KD602"/>
      <c r="KE602"/>
      <c r="KF602"/>
      <c r="KG602"/>
      <c r="KH602"/>
      <c r="KI602"/>
      <c r="KJ602"/>
      <c r="KK602"/>
      <c r="KL602"/>
      <c r="KM602"/>
      <c r="KN602"/>
      <c r="KO602"/>
      <c r="KP602"/>
      <c r="KQ602"/>
      <c r="KR602"/>
      <c r="KS602"/>
    </row>
    <row r="603" spans="2:305" hidden="1" x14ac:dyDescent="0.25">
      <c r="B603"/>
      <c r="C603"/>
      <c r="D603"/>
      <c r="E603"/>
      <c r="F603"/>
      <c r="G603"/>
      <c r="H603"/>
      <c r="I603"/>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M603"/>
      <c r="CN603"/>
      <c r="CO603"/>
      <c r="CP603"/>
      <c r="CQ603"/>
      <c r="CR603"/>
      <c r="CS603"/>
      <c r="CT603"/>
      <c r="CU603"/>
      <c r="CV603"/>
      <c r="CW603"/>
      <c r="CX603"/>
      <c r="CY603"/>
      <c r="CZ603"/>
      <c r="DA603"/>
      <c r="DB603"/>
      <c r="DC603"/>
      <c r="DD603"/>
      <c r="DE603"/>
      <c r="DF603"/>
      <c r="DG603"/>
      <c r="DH603"/>
      <c r="DI603"/>
      <c r="DJ603"/>
      <c r="DK603"/>
      <c r="DL603"/>
      <c r="DM603"/>
      <c r="DN603"/>
      <c r="DO603"/>
      <c r="DP603"/>
      <c r="DQ603"/>
      <c r="DR603"/>
      <c r="DS603"/>
      <c r="DT603"/>
      <c r="DU603"/>
      <c r="DV603"/>
      <c r="DW603"/>
      <c r="DX603"/>
      <c r="DY603"/>
      <c r="DZ603"/>
      <c r="EA603"/>
      <c r="EB603"/>
      <c r="EC603"/>
      <c r="ED603"/>
      <c r="EE603"/>
      <c r="EF603"/>
      <c r="EG603"/>
      <c r="EH603"/>
      <c r="EI603"/>
      <c r="EJ603"/>
      <c r="EK603"/>
      <c r="EL603"/>
      <c r="EM603"/>
      <c r="EN603"/>
      <c r="EO603"/>
      <c r="EP603"/>
      <c r="EQ603"/>
      <c r="ER603"/>
      <c r="ES603"/>
      <c r="ET603"/>
      <c r="EU603"/>
      <c r="EV603"/>
      <c r="EW603"/>
      <c r="EX603"/>
      <c r="EY603"/>
      <c r="EZ603"/>
      <c r="FA603"/>
      <c r="FB603"/>
      <c r="FC603"/>
      <c r="FD603"/>
      <c r="FE603"/>
      <c r="FF603"/>
      <c r="FG603"/>
      <c r="FH603"/>
      <c r="FI603"/>
      <c r="FJ603"/>
      <c r="FK603"/>
      <c r="FL603"/>
      <c r="FM603"/>
      <c r="FN603"/>
      <c r="FO603"/>
      <c r="FP603"/>
      <c r="FQ603"/>
      <c r="FR603"/>
      <c r="FS603"/>
      <c r="FT603"/>
      <c r="FU603"/>
      <c r="FV603"/>
      <c r="FW603"/>
      <c r="FX603"/>
      <c r="FY603"/>
      <c r="FZ603"/>
      <c r="GA603"/>
      <c r="GB603"/>
      <c r="GC603"/>
      <c r="GD603"/>
      <c r="GE603"/>
      <c r="GF603"/>
      <c r="GG603"/>
      <c r="GH603"/>
      <c r="GI603"/>
      <c r="GJ603"/>
      <c r="GK603"/>
      <c r="GL603"/>
      <c r="GM603"/>
      <c r="GN603"/>
      <c r="GO603"/>
      <c r="GP603"/>
      <c r="GQ603"/>
      <c r="GR603"/>
      <c r="GS603"/>
      <c r="GT603"/>
      <c r="GU603"/>
      <c r="GV603"/>
      <c r="GW603"/>
      <c r="GX603"/>
      <c r="GY603"/>
      <c r="GZ603"/>
      <c r="HA603"/>
      <c r="HB603"/>
      <c r="HC603"/>
      <c r="HD603"/>
      <c r="HE603"/>
      <c r="HF603"/>
      <c r="HG603"/>
      <c r="HH603"/>
      <c r="HI603"/>
      <c r="HJ603"/>
      <c r="HK603"/>
      <c r="HL603"/>
      <c r="HM603"/>
      <c r="HN603"/>
      <c r="HO603"/>
      <c r="HP603"/>
      <c r="HQ603"/>
      <c r="HR603"/>
      <c r="HS603"/>
      <c r="HT603"/>
      <c r="HU603"/>
      <c r="HV603"/>
      <c r="HW603"/>
      <c r="HX603"/>
      <c r="HY603"/>
      <c r="HZ603"/>
      <c r="IA603"/>
      <c r="IB603"/>
      <c r="IC603"/>
      <c r="ID603"/>
      <c r="IE603"/>
      <c r="IF603"/>
      <c r="IG603"/>
      <c r="IH603"/>
      <c r="II603"/>
      <c r="IJ603"/>
      <c r="IK603"/>
      <c r="IL603"/>
      <c r="IM603"/>
      <c r="IN603"/>
      <c r="IO603"/>
      <c r="IP603"/>
      <c r="IQ603"/>
      <c r="IR603"/>
      <c r="IS603"/>
      <c r="IT603"/>
      <c r="IU603"/>
      <c r="IV603"/>
      <c r="IW603"/>
      <c r="IX603"/>
      <c r="IY603"/>
      <c r="IZ603"/>
      <c r="JA603"/>
      <c r="JB603"/>
      <c r="JC603"/>
      <c r="JD603"/>
      <c r="JE603"/>
      <c r="JF603"/>
      <c r="JG603"/>
      <c r="JH603"/>
      <c r="JI603"/>
      <c r="JJ603"/>
      <c r="JK603"/>
      <c r="JL603"/>
      <c r="JM603"/>
      <c r="JN603"/>
      <c r="JO603"/>
      <c r="JP603"/>
      <c r="JQ603"/>
      <c r="JR603"/>
      <c r="JS603"/>
      <c r="JT603"/>
      <c r="JU603"/>
      <c r="JV603"/>
      <c r="JW603"/>
      <c r="JX603"/>
      <c r="JY603"/>
      <c r="JZ603"/>
      <c r="KA603"/>
      <c r="KB603"/>
      <c r="KC603"/>
      <c r="KD603"/>
      <c r="KE603"/>
      <c r="KF603"/>
      <c r="KG603"/>
      <c r="KH603"/>
      <c r="KI603"/>
      <c r="KJ603"/>
      <c r="KK603"/>
      <c r="KL603"/>
      <c r="KM603"/>
      <c r="KN603"/>
      <c r="KO603"/>
      <c r="KP603"/>
      <c r="KQ603"/>
      <c r="KR603"/>
      <c r="KS603"/>
    </row>
    <row r="604" spans="2:305" hidden="1" x14ac:dyDescent="0.25">
      <c r="B604"/>
      <c r="C604"/>
      <c r="D604"/>
      <c r="E604"/>
      <c r="F604"/>
      <c r="G604"/>
      <c r="H604"/>
      <c r="I604"/>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M604"/>
      <c r="CN604"/>
      <c r="CO604"/>
      <c r="CP604"/>
      <c r="CQ604"/>
      <c r="CR604"/>
      <c r="CS604"/>
      <c r="CT604"/>
      <c r="CU604"/>
      <c r="CV604"/>
      <c r="CW604"/>
      <c r="CX604"/>
      <c r="CY604"/>
      <c r="CZ604"/>
      <c r="DA604"/>
      <c r="DB604"/>
      <c r="DC604"/>
      <c r="DD604"/>
      <c r="DE604"/>
      <c r="DF604"/>
      <c r="DG604"/>
      <c r="DH604"/>
      <c r="DI604"/>
      <c r="DJ604"/>
      <c r="DK604"/>
      <c r="DL604"/>
      <c r="DM604"/>
      <c r="DN604"/>
      <c r="DO604"/>
      <c r="DP604"/>
      <c r="DQ604"/>
      <c r="DR604"/>
      <c r="DS604"/>
      <c r="DT604"/>
      <c r="DU604"/>
      <c r="DV604"/>
      <c r="DW604"/>
      <c r="DX604"/>
      <c r="DY604"/>
      <c r="DZ604"/>
      <c r="EA604"/>
      <c r="EB604"/>
      <c r="EC604"/>
      <c r="ED604"/>
      <c r="EE604"/>
      <c r="EF604"/>
      <c r="EG604"/>
      <c r="EH604"/>
      <c r="EI604"/>
      <c r="EJ604"/>
      <c r="EK604"/>
      <c r="EL604"/>
      <c r="EM604"/>
      <c r="EN604"/>
      <c r="EO604"/>
      <c r="EP604"/>
      <c r="EQ604"/>
      <c r="ER604"/>
      <c r="ES604"/>
      <c r="ET604"/>
      <c r="EU604"/>
      <c r="EV604"/>
      <c r="EW604"/>
      <c r="EX604"/>
      <c r="EY604"/>
      <c r="EZ604"/>
      <c r="FA604"/>
      <c r="FB604"/>
      <c r="FC604"/>
      <c r="FD604"/>
      <c r="FE604"/>
      <c r="FF604"/>
      <c r="FG604"/>
      <c r="FH604"/>
      <c r="FI604"/>
      <c r="FJ604"/>
      <c r="FK604"/>
      <c r="FL604"/>
      <c r="FM604"/>
      <c r="FN604"/>
      <c r="FO604"/>
      <c r="FP604"/>
      <c r="FQ604"/>
      <c r="FR604"/>
      <c r="FS604"/>
      <c r="FT604"/>
      <c r="FU604"/>
      <c r="FV604"/>
      <c r="FW604"/>
      <c r="FX604"/>
      <c r="FY604"/>
      <c r="FZ604"/>
      <c r="GA604"/>
      <c r="GB604"/>
      <c r="GC604"/>
      <c r="GD604"/>
      <c r="GE604"/>
      <c r="GF604"/>
      <c r="GG604"/>
      <c r="GH604"/>
      <c r="GI604"/>
      <c r="GJ604"/>
      <c r="GK604"/>
      <c r="GL604"/>
      <c r="GM604"/>
      <c r="GN604"/>
      <c r="GO604"/>
      <c r="GP604"/>
      <c r="GQ604"/>
      <c r="GR604"/>
      <c r="GS604"/>
      <c r="GT604"/>
      <c r="GU604"/>
      <c r="GV604"/>
      <c r="GW604"/>
      <c r="GX604"/>
      <c r="GY604"/>
      <c r="GZ604"/>
      <c r="HA604"/>
      <c r="HB604"/>
      <c r="HC604"/>
      <c r="HD604"/>
      <c r="HE604"/>
      <c r="HF604"/>
      <c r="HG604"/>
      <c r="HH604"/>
      <c r="HI604"/>
      <c r="HJ604"/>
      <c r="HK604"/>
      <c r="HL604"/>
      <c r="HM604"/>
      <c r="HN604"/>
      <c r="HO604"/>
      <c r="HP604"/>
      <c r="HQ604"/>
      <c r="HR604"/>
      <c r="HS604"/>
      <c r="HT604"/>
      <c r="HU604"/>
      <c r="HV604"/>
      <c r="HW604"/>
      <c r="HX604"/>
      <c r="HY604"/>
      <c r="HZ604"/>
      <c r="IA604"/>
      <c r="IB604"/>
      <c r="IC604"/>
      <c r="ID604"/>
      <c r="IE604"/>
      <c r="IF604"/>
      <c r="IG604"/>
      <c r="IH604"/>
      <c r="II604"/>
      <c r="IJ604"/>
      <c r="IK604"/>
      <c r="IL604"/>
      <c r="IM604"/>
      <c r="IN604"/>
      <c r="IO604"/>
      <c r="IP604"/>
      <c r="IQ604"/>
      <c r="IR604"/>
      <c r="IS604"/>
      <c r="IT604"/>
      <c r="IU604"/>
      <c r="IV604"/>
      <c r="IW604"/>
      <c r="IX604"/>
      <c r="IY604"/>
      <c r="IZ604"/>
      <c r="JA604"/>
      <c r="JB604"/>
      <c r="JC604"/>
      <c r="JD604"/>
      <c r="JE604"/>
      <c r="JF604"/>
      <c r="JG604"/>
      <c r="JH604"/>
      <c r="JI604"/>
      <c r="JJ604"/>
      <c r="JK604"/>
      <c r="JL604"/>
      <c r="JM604"/>
      <c r="JN604"/>
      <c r="JO604"/>
      <c r="JP604"/>
      <c r="JQ604"/>
      <c r="JR604"/>
      <c r="JS604"/>
      <c r="JT604"/>
      <c r="JU604"/>
      <c r="JV604"/>
      <c r="JW604"/>
      <c r="JX604"/>
      <c r="JY604"/>
      <c r="JZ604"/>
      <c r="KA604"/>
      <c r="KB604"/>
      <c r="KC604"/>
      <c r="KD604"/>
      <c r="KE604"/>
      <c r="KF604"/>
      <c r="KG604"/>
      <c r="KH604"/>
      <c r="KI604"/>
      <c r="KJ604"/>
      <c r="KK604"/>
      <c r="KL604"/>
      <c r="KM604"/>
      <c r="KN604"/>
      <c r="KO604"/>
      <c r="KP604"/>
      <c r="KQ604"/>
      <c r="KR604"/>
      <c r="KS604"/>
    </row>
    <row r="605" spans="2:305" hidden="1" x14ac:dyDescent="0.25">
      <c r="B605"/>
      <c r="C605"/>
      <c r="D605"/>
      <c r="E605"/>
      <c r="F605"/>
      <c r="G605"/>
      <c r="H605"/>
      <c r="I605"/>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M605"/>
      <c r="CN605"/>
      <c r="CO605"/>
      <c r="CP605"/>
      <c r="CQ605"/>
      <c r="CR605"/>
      <c r="CS605"/>
      <c r="CT605"/>
      <c r="CU605"/>
      <c r="CV605"/>
      <c r="CW605"/>
      <c r="CX605"/>
      <c r="CY605"/>
      <c r="CZ605"/>
      <c r="DA605"/>
      <c r="DB605"/>
      <c r="DC605"/>
      <c r="DD605"/>
      <c r="DE605"/>
      <c r="DF605"/>
      <c r="DG605"/>
      <c r="DH605"/>
      <c r="DI605"/>
      <c r="DJ605"/>
      <c r="DK605"/>
      <c r="DL605"/>
      <c r="DM605"/>
      <c r="DN605"/>
      <c r="DO605"/>
      <c r="DP605"/>
      <c r="DQ605"/>
      <c r="DR605"/>
      <c r="DS605"/>
      <c r="DT605"/>
      <c r="DU605"/>
      <c r="DV605"/>
      <c r="DW605"/>
      <c r="DX605"/>
      <c r="DY605"/>
      <c r="DZ605"/>
      <c r="EA605"/>
      <c r="EB605"/>
      <c r="EC605"/>
      <c r="ED605"/>
      <c r="EE605"/>
      <c r="EF605"/>
      <c r="EG605"/>
      <c r="EH605"/>
      <c r="EI605"/>
      <c r="EJ605"/>
      <c r="EK605"/>
      <c r="EL605"/>
      <c r="EM605"/>
      <c r="EN605"/>
      <c r="EO605"/>
      <c r="EP605"/>
      <c r="EQ605"/>
      <c r="ER605"/>
      <c r="ES605"/>
      <c r="ET605"/>
      <c r="EU605"/>
      <c r="EV605"/>
      <c r="EW605"/>
      <c r="EX605"/>
      <c r="EY605"/>
      <c r="EZ605"/>
      <c r="FA605"/>
      <c r="FB605"/>
      <c r="FC605"/>
      <c r="FD605"/>
      <c r="FE605"/>
      <c r="FF605"/>
      <c r="FG605"/>
      <c r="FH605"/>
      <c r="FI605"/>
      <c r="FJ605"/>
      <c r="FK605"/>
      <c r="FL605"/>
      <c r="FM605"/>
      <c r="FN605"/>
      <c r="FO605"/>
      <c r="FP605"/>
      <c r="FQ605"/>
      <c r="FR605"/>
      <c r="FS605"/>
      <c r="FT605"/>
      <c r="FU605"/>
      <c r="FV605"/>
      <c r="FW605"/>
      <c r="FX605"/>
      <c r="FY605"/>
      <c r="FZ605"/>
      <c r="GA605"/>
      <c r="GB605"/>
      <c r="GC605"/>
      <c r="GD605"/>
      <c r="GE605"/>
      <c r="GF605"/>
      <c r="GG605"/>
      <c r="GH605"/>
      <c r="GI605"/>
      <c r="GJ605"/>
      <c r="GK605"/>
      <c r="GL605"/>
      <c r="GM605"/>
      <c r="GN605"/>
      <c r="GO605"/>
      <c r="GP605"/>
      <c r="GQ605"/>
      <c r="GR605"/>
      <c r="GS605"/>
      <c r="GT605"/>
      <c r="GU605"/>
      <c r="GV605"/>
      <c r="GW605"/>
      <c r="GX605"/>
      <c r="GY605"/>
      <c r="GZ605"/>
      <c r="HA605"/>
      <c r="HB605"/>
      <c r="HC605"/>
      <c r="HD605"/>
      <c r="HE605"/>
      <c r="HF605"/>
      <c r="HG605"/>
      <c r="HH605"/>
      <c r="HI605"/>
      <c r="HJ605"/>
      <c r="HK605"/>
      <c r="HL605"/>
      <c r="HM605"/>
      <c r="HN605"/>
      <c r="HO605"/>
      <c r="HP605"/>
      <c r="HQ605"/>
      <c r="HR605"/>
      <c r="HS605"/>
      <c r="HT605"/>
      <c r="HU605"/>
      <c r="HV605"/>
      <c r="HW605"/>
      <c r="HX605"/>
      <c r="HY605"/>
      <c r="HZ605"/>
      <c r="IA605"/>
      <c r="IB605"/>
      <c r="IC605"/>
      <c r="ID605"/>
      <c r="IE605"/>
      <c r="IF605"/>
      <c r="IG605"/>
      <c r="IH605"/>
      <c r="II605"/>
      <c r="IJ605"/>
      <c r="IK605"/>
      <c r="IL605"/>
      <c r="IM605"/>
      <c r="IN605"/>
      <c r="IO605"/>
      <c r="IP605"/>
      <c r="IQ605"/>
      <c r="IR605"/>
      <c r="IS605"/>
      <c r="IT605"/>
      <c r="IU605"/>
      <c r="IV605"/>
      <c r="IW605"/>
      <c r="IX605"/>
      <c r="IY605"/>
      <c r="IZ605"/>
      <c r="JA605"/>
      <c r="JB605"/>
      <c r="JC605"/>
      <c r="JD605"/>
      <c r="JE605"/>
      <c r="JF605"/>
      <c r="JG605"/>
      <c r="JH605"/>
      <c r="JI605"/>
      <c r="JJ605"/>
      <c r="JK605"/>
      <c r="JL605"/>
      <c r="JM605"/>
      <c r="JN605"/>
      <c r="JO605"/>
      <c r="JP605"/>
      <c r="JQ605"/>
      <c r="JR605"/>
      <c r="JS605"/>
      <c r="JT605"/>
      <c r="JU605"/>
      <c r="JV605"/>
      <c r="JW605"/>
      <c r="JX605"/>
      <c r="JY605"/>
      <c r="JZ605"/>
      <c r="KA605"/>
      <c r="KB605"/>
      <c r="KC605"/>
      <c r="KD605"/>
      <c r="KE605"/>
      <c r="KF605"/>
      <c r="KG605"/>
      <c r="KH605"/>
      <c r="KI605"/>
      <c r="KJ605"/>
      <c r="KK605"/>
      <c r="KL605"/>
      <c r="KM605"/>
      <c r="KN605"/>
      <c r="KO605"/>
      <c r="KP605"/>
      <c r="KQ605"/>
      <c r="KR605"/>
      <c r="KS605"/>
    </row>
    <row r="606" spans="2:305" hidden="1" x14ac:dyDescent="0.25">
      <c r="B606"/>
      <c r="C606"/>
      <c r="D606"/>
      <c r="E606"/>
      <c r="F606"/>
      <c r="G606"/>
      <c r="H606"/>
      <c r="I606"/>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M606"/>
      <c r="CN606"/>
      <c r="CO606"/>
      <c r="CP606"/>
      <c r="CQ606"/>
      <c r="CR606"/>
      <c r="CS606"/>
      <c r="CT606"/>
      <c r="CU606"/>
      <c r="CV606"/>
      <c r="CW606"/>
      <c r="CX606"/>
      <c r="CY606"/>
      <c r="CZ606"/>
      <c r="DA606"/>
      <c r="DB606"/>
      <c r="DC606"/>
      <c r="DD606"/>
      <c r="DE606"/>
      <c r="DF606"/>
      <c r="DG606"/>
      <c r="DH606"/>
      <c r="DI606"/>
      <c r="DJ606"/>
      <c r="DK606"/>
      <c r="DL606"/>
      <c r="DM606"/>
      <c r="DN606"/>
      <c r="DO606"/>
      <c r="DP606"/>
      <c r="DQ606"/>
      <c r="DR606"/>
      <c r="DS606"/>
      <c r="DT606"/>
      <c r="DU606"/>
      <c r="DV606"/>
      <c r="DW606"/>
      <c r="DX606"/>
      <c r="DY606"/>
      <c r="DZ606"/>
      <c r="EA606"/>
      <c r="EB606"/>
      <c r="EC606"/>
      <c r="ED606"/>
      <c r="EE606"/>
      <c r="EF606"/>
      <c r="EG606"/>
      <c r="EH606"/>
      <c r="EI606"/>
      <c r="EJ606"/>
      <c r="EK606"/>
      <c r="EL606"/>
      <c r="EM606"/>
      <c r="EN606"/>
      <c r="EO606"/>
      <c r="EP606"/>
      <c r="EQ606"/>
      <c r="ER606"/>
      <c r="ES606"/>
      <c r="ET606"/>
      <c r="EU606"/>
      <c r="EV606"/>
      <c r="EW606"/>
      <c r="EX606"/>
      <c r="EY606"/>
      <c r="EZ606"/>
      <c r="FA606"/>
      <c r="FB606"/>
      <c r="FC606"/>
      <c r="FD606"/>
      <c r="FE606"/>
      <c r="FF606"/>
      <c r="FG606"/>
      <c r="FH606"/>
      <c r="FI606"/>
      <c r="FJ606"/>
      <c r="FK606"/>
      <c r="FL606"/>
      <c r="FM606"/>
      <c r="FN606"/>
      <c r="FO606"/>
      <c r="FP606"/>
      <c r="FQ606"/>
      <c r="FR606"/>
      <c r="FS606"/>
      <c r="FT606"/>
      <c r="FU606"/>
      <c r="FV606"/>
      <c r="FW606"/>
      <c r="FX606"/>
      <c r="FY606"/>
      <c r="FZ606"/>
      <c r="GA606"/>
      <c r="GB606"/>
      <c r="GC606"/>
      <c r="GD606"/>
      <c r="GE606"/>
      <c r="GF606"/>
      <c r="GG606"/>
      <c r="GH606"/>
      <c r="GI606"/>
      <c r="GJ606"/>
      <c r="GK606"/>
      <c r="GL606"/>
      <c r="GM606"/>
      <c r="GN606"/>
      <c r="GO606"/>
      <c r="GP606"/>
      <c r="GQ606"/>
      <c r="GR606"/>
      <c r="GS606"/>
      <c r="GT606"/>
      <c r="GU606"/>
      <c r="GV606"/>
      <c r="GW606"/>
      <c r="GX606"/>
      <c r="GY606"/>
      <c r="GZ606"/>
      <c r="HA606"/>
      <c r="HB606"/>
      <c r="HC606"/>
      <c r="HD606"/>
      <c r="HE606"/>
      <c r="HF606"/>
      <c r="HG606"/>
      <c r="HH606"/>
      <c r="HI606"/>
      <c r="HJ606"/>
      <c r="HK606"/>
      <c r="HL606"/>
      <c r="HM606"/>
      <c r="HN606"/>
      <c r="HO606"/>
      <c r="HP606"/>
      <c r="HQ606"/>
      <c r="HR606"/>
      <c r="HS606"/>
      <c r="HT606"/>
      <c r="HU606"/>
      <c r="HV606"/>
      <c r="HW606"/>
      <c r="HX606"/>
      <c r="HY606"/>
      <c r="HZ606"/>
      <c r="IA606"/>
      <c r="IB606"/>
      <c r="IC606"/>
      <c r="ID606"/>
      <c r="IE606"/>
      <c r="IF606"/>
      <c r="IG606"/>
      <c r="IH606"/>
      <c r="II606"/>
      <c r="IJ606"/>
      <c r="IK606"/>
      <c r="IL606"/>
      <c r="IM606"/>
      <c r="IN606"/>
      <c r="IO606"/>
      <c r="IP606"/>
      <c r="IQ606"/>
      <c r="IR606"/>
      <c r="IS606"/>
      <c r="IT606"/>
      <c r="IU606"/>
      <c r="IV606"/>
      <c r="IW606"/>
      <c r="IX606"/>
      <c r="IY606"/>
      <c r="IZ606"/>
      <c r="JA606"/>
      <c r="JB606"/>
      <c r="JC606"/>
      <c r="JD606"/>
      <c r="JE606"/>
      <c r="JF606"/>
      <c r="JG606"/>
      <c r="JH606"/>
      <c r="JI606"/>
      <c r="JJ606"/>
      <c r="JK606"/>
      <c r="JL606"/>
      <c r="JM606"/>
      <c r="JN606"/>
      <c r="JO606"/>
      <c r="JP606"/>
      <c r="JQ606"/>
      <c r="JR606"/>
      <c r="JS606"/>
      <c r="JT606"/>
      <c r="JU606"/>
      <c r="JV606"/>
      <c r="JW606"/>
      <c r="JX606"/>
      <c r="JY606"/>
      <c r="JZ606"/>
      <c r="KA606"/>
      <c r="KB606"/>
      <c r="KC606"/>
      <c r="KD606"/>
      <c r="KE606"/>
      <c r="KF606"/>
      <c r="KG606"/>
      <c r="KH606"/>
      <c r="KI606"/>
      <c r="KJ606"/>
      <c r="KK606"/>
      <c r="KL606"/>
      <c r="KM606"/>
      <c r="KN606"/>
      <c r="KO606"/>
      <c r="KP606"/>
      <c r="KQ606"/>
      <c r="KR606"/>
      <c r="KS606"/>
    </row>
    <row r="607" spans="2:305" hidden="1" x14ac:dyDescent="0.25">
      <c r="B607"/>
      <c r="C607"/>
      <c r="D607"/>
      <c r="E607"/>
      <c r="F607"/>
      <c r="G607"/>
      <c r="H607"/>
      <c r="I607"/>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M607"/>
      <c r="CN607"/>
      <c r="CO607"/>
      <c r="CP607"/>
      <c r="CQ607"/>
      <c r="CR607"/>
      <c r="CS607"/>
      <c r="CT607"/>
      <c r="CU607"/>
      <c r="CV607"/>
      <c r="CW607"/>
      <c r="CX607"/>
      <c r="CY607"/>
      <c r="CZ607"/>
      <c r="DA607"/>
      <c r="DB607"/>
      <c r="DC607"/>
      <c r="DD607"/>
      <c r="DE607"/>
      <c r="DF607"/>
      <c r="DG607"/>
      <c r="DH607"/>
      <c r="DI607"/>
      <c r="DJ607"/>
      <c r="DK607"/>
      <c r="DL607"/>
      <c r="DM607"/>
      <c r="DN607"/>
      <c r="DO607"/>
      <c r="DP607"/>
      <c r="DQ607"/>
      <c r="DR607"/>
      <c r="DS607"/>
      <c r="DT607"/>
      <c r="DU607"/>
      <c r="DV607"/>
      <c r="DW607"/>
      <c r="DX607"/>
      <c r="DY607"/>
      <c r="DZ607"/>
      <c r="EA607"/>
      <c r="EB607"/>
      <c r="EC607"/>
      <c r="ED607"/>
      <c r="EE607"/>
      <c r="EF607"/>
      <c r="EG607"/>
      <c r="EH607"/>
      <c r="EI607"/>
      <c r="EJ607"/>
      <c r="EK607"/>
      <c r="EL607"/>
      <c r="EM607"/>
      <c r="EN607"/>
      <c r="EO607"/>
      <c r="EP607"/>
      <c r="EQ607"/>
      <c r="ER607"/>
      <c r="ES607"/>
      <c r="ET607"/>
      <c r="EU607"/>
      <c r="EV607"/>
      <c r="EW607"/>
      <c r="EX607"/>
      <c r="EY607"/>
      <c r="EZ607"/>
      <c r="FA607"/>
      <c r="FB607"/>
      <c r="FC607"/>
      <c r="FD607"/>
      <c r="FE607"/>
      <c r="FF607"/>
      <c r="FG607"/>
      <c r="FH607"/>
      <c r="FI607"/>
      <c r="FJ607"/>
      <c r="FK607"/>
      <c r="FL607"/>
      <c r="FM607"/>
      <c r="FN607"/>
      <c r="FO607"/>
      <c r="FP607"/>
      <c r="FQ607"/>
      <c r="FR607"/>
      <c r="FS607"/>
      <c r="FT607"/>
      <c r="FU607"/>
      <c r="FV607"/>
      <c r="FW607"/>
      <c r="FX607"/>
      <c r="FY607"/>
      <c r="FZ607"/>
      <c r="GA607"/>
      <c r="GB607"/>
      <c r="GC607"/>
      <c r="GD607"/>
      <c r="GE607"/>
      <c r="GF607"/>
      <c r="GG607"/>
      <c r="GH607"/>
      <c r="GI607"/>
      <c r="GJ607"/>
      <c r="GK607"/>
      <c r="GL607"/>
      <c r="GM607"/>
      <c r="GN607"/>
      <c r="GO607"/>
      <c r="GP607"/>
      <c r="GQ607"/>
      <c r="GR607"/>
      <c r="GS607"/>
      <c r="GT607"/>
      <c r="GU607"/>
      <c r="GV607"/>
      <c r="GW607"/>
      <c r="GX607"/>
      <c r="GY607"/>
      <c r="GZ607"/>
      <c r="HA607"/>
      <c r="HB607"/>
      <c r="HC607"/>
      <c r="HD607"/>
      <c r="HE607"/>
      <c r="HF607"/>
      <c r="HG607"/>
      <c r="HH607"/>
      <c r="HI607"/>
      <c r="HJ607"/>
      <c r="HK607"/>
      <c r="HL607"/>
      <c r="HM607"/>
      <c r="HN607"/>
      <c r="HO607"/>
      <c r="HP607"/>
      <c r="HQ607"/>
      <c r="HR607"/>
      <c r="HS607"/>
      <c r="HT607"/>
      <c r="HU607"/>
      <c r="HV607"/>
      <c r="HW607"/>
      <c r="HX607"/>
      <c r="HY607"/>
      <c r="HZ607"/>
      <c r="IA607"/>
      <c r="IB607"/>
      <c r="IC607"/>
      <c r="ID607"/>
      <c r="IE607"/>
      <c r="IF607"/>
      <c r="IG607"/>
      <c r="IH607"/>
      <c r="II607"/>
      <c r="IJ607"/>
      <c r="IK607"/>
      <c r="IL607"/>
      <c r="IM607"/>
      <c r="IN607"/>
      <c r="IO607"/>
      <c r="IP607"/>
      <c r="IQ607"/>
      <c r="IR607"/>
      <c r="IS607"/>
      <c r="IT607"/>
      <c r="IU607"/>
      <c r="IV607"/>
      <c r="IW607"/>
      <c r="IX607"/>
      <c r="IY607"/>
      <c r="IZ607"/>
      <c r="JA607"/>
      <c r="JB607"/>
      <c r="JC607"/>
      <c r="JD607"/>
      <c r="JE607"/>
      <c r="JF607"/>
      <c r="JG607"/>
      <c r="JH607"/>
      <c r="JI607"/>
      <c r="JJ607"/>
      <c r="JK607"/>
      <c r="JL607"/>
      <c r="JM607"/>
      <c r="JN607"/>
      <c r="JO607"/>
      <c r="JP607"/>
      <c r="JQ607"/>
      <c r="JR607"/>
      <c r="JS607"/>
      <c r="JT607"/>
      <c r="JU607"/>
      <c r="JV607"/>
      <c r="JW607"/>
      <c r="JX607"/>
      <c r="JY607"/>
      <c r="JZ607"/>
      <c r="KA607"/>
      <c r="KB607"/>
      <c r="KC607"/>
      <c r="KD607"/>
      <c r="KE607"/>
      <c r="KF607"/>
      <c r="KG607"/>
      <c r="KH607"/>
      <c r="KI607"/>
      <c r="KJ607"/>
      <c r="KK607"/>
      <c r="KL607"/>
      <c r="KM607"/>
      <c r="KN607"/>
      <c r="KO607"/>
      <c r="KP607"/>
      <c r="KQ607"/>
      <c r="KR607"/>
      <c r="KS607"/>
    </row>
    <row r="608" spans="2:305" hidden="1" x14ac:dyDescent="0.25">
      <c r="B608"/>
      <c r="C608"/>
      <c r="D608"/>
      <c r="E608"/>
      <c r="F608"/>
      <c r="G608"/>
      <c r="H608"/>
      <c r="I608"/>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M608"/>
      <c r="CN608"/>
      <c r="CO608"/>
      <c r="CP608"/>
      <c r="CQ608"/>
      <c r="CR608"/>
      <c r="CS608"/>
      <c r="CT608"/>
      <c r="CU608"/>
      <c r="CV608"/>
      <c r="CW608"/>
      <c r="CX608"/>
      <c r="CY608"/>
      <c r="CZ608"/>
      <c r="DA608"/>
      <c r="DB608"/>
      <c r="DC608"/>
      <c r="DD608"/>
      <c r="DE608"/>
      <c r="DF608"/>
      <c r="DG608"/>
      <c r="DH608"/>
      <c r="DI608"/>
      <c r="DJ608"/>
      <c r="DK608"/>
      <c r="DL608"/>
      <c r="DM608"/>
      <c r="DN608"/>
      <c r="DO608"/>
      <c r="DP608"/>
      <c r="DQ608"/>
      <c r="DR608"/>
      <c r="DS608"/>
      <c r="DT608"/>
      <c r="DU608"/>
      <c r="DV608"/>
      <c r="DW608"/>
      <c r="DX608"/>
      <c r="DY608"/>
      <c r="DZ608"/>
      <c r="EA608"/>
      <c r="EB608"/>
      <c r="EC608"/>
      <c r="ED608"/>
      <c r="EE608"/>
      <c r="EF608"/>
      <c r="EG608"/>
      <c r="EH608"/>
      <c r="EI608"/>
      <c r="EJ608"/>
      <c r="EK608"/>
      <c r="EL608"/>
      <c r="EM608"/>
      <c r="EN608"/>
      <c r="EO608"/>
      <c r="EP608"/>
      <c r="EQ608"/>
      <c r="ER608"/>
      <c r="ES608"/>
      <c r="ET608"/>
      <c r="EU608"/>
      <c r="EV608"/>
      <c r="EW608"/>
      <c r="EX608"/>
      <c r="EY608"/>
      <c r="EZ608"/>
      <c r="FA608"/>
      <c r="FB608"/>
      <c r="FC608"/>
      <c r="FD608"/>
      <c r="FE608"/>
      <c r="FF608"/>
      <c r="FG608"/>
      <c r="FH608"/>
      <c r="FI608"/>
      <c r="FJ608"/>
      <c r="FK608"/>
      <c r="FL608"/>
      <c r="FM608"/>
      <c r="FN608"/>
      <c r="FO608"/>
      <c r="FP608"/>
      <c r="FQ608"/>
      <c r="FR608"/>
      <c r="FS608"/>
      <c r="FT608"/>
      <c r="FU608"/>
      <c r="FV608"/>
      <c r="FW608"/>
      <c r="FX608"/>
      <c r="FY608"/>
      <c r="FZ608"/>
      <c r="GA608"/>
      <c r="GB608"/>
      <c r="GC608"/>
      <c r="GD608"/>
      <c r="GE608"/>
      <c r="GF608"/>
      <c r="GG608"/>
      <c r="GH608"/>
      <c r="GI608"/>
      <c r="GJ608"/>
      <c r="GK608"/>
      <c r="GL608"/>
      <c r="GM608"/>
      <c r="GN608"/>
      <c r="GO608"/>
      <c r="GP608"/>
      <c r="GQ608"/>
      <c r="GR608"/>
      <c r="GS608"/>
      <c r="GT608"/>
      <c r="GU608"/>
      <c r="GV608"/>
      <c r="GW608"/>
      <c r="GX608"/>
      <c r="GY608"/>
      <c r="GZ608"/>
      <c r="HA608"/>
      <c r="HB608"/>
      <c r="HC608"/>
      <c r="HD608"/>
      <c r="HE608"/>
      <c r="HF608"/>
      <c r="HG608"/>
      <c r="HH608"/>
      <c r="HI608"/>
      <c r="HJ608"/>
      <c r="HK608"/>
      <c r="HL608"/>
      <c r="HM608"/>
      <c r="HN608"/>
      <c r="HO608"/>
      <c r="HP608"/>
      <c r="HQ608"/>
      <c r="HR608"/>
      <c r="HS608"/>
      <c r="HT608"/>
      <c r="HU608"/>
      <c r="HV608"/>
      <c r="HW608"/>
      <c r="HX608"/>
      <c r="HY608"/>
      <c r="HZ608"/>
      <c r="IA608"/>
      <c r="IB608"/>
      <c r="IC608"/>
      <c r="ID608"/>
      <c r="IE608"/>
      <c r="IF608"/>
      <c r="IG608"/>
      <c r="IH608"/>
      <c r="II608"/>
      <c r="IJ608"/>
      <c r="IK608"/>
      <c r="IL608"/>
      <c r="IM608"/>
      <c r="IN608"/>
      <c r="IO608"/>
      <c r="IP608"/>
      <c r="IQ608"/>
      <c r="IR608"/>
      <c r="IS608"/>
      <c r="IT608"/>
      <c r="IU608"/>
      <c r="IV608"/>
      <c r="IW608"/>
      <c r="IX608"/>
      <c r="IY608"/>
      <c r="IZ608"/>
      <c r="JA608"/>
      <c r="JB608"/>
      <c r="JC608"/>
      <c r="JD608"/>
      <c r="JE608"/>
      <c r="JF608"/>
      <c r="JG608"/>
      <c r="JH608"/>
      <c r="JI608"/>
      <c r="JJ608"/>
      <c r="JK608"/>
      <c r="JL608"/>
      <c r="JM608"/>
      <c r="JN608"/>
      <c r="JO608"/>
      <c r="JP608"/>
      <c r="JQ608"/>
      <c r="JR608"/>
      <c r="JS608"/>
      <c r="JT608"/>
      <c r="JU608"/>
      <c r="JV608"/>
      <c r="JW608"/>
      <c r="JX608"/>
      <c r="JY608"/>
      <c r="JZ608"/>
      <c r="KA608"/>
      <c r="KB608"/>
      <c r="KC608"/>
      <c r="KD608"/>
      <c r="KE608"/>
      <c r="KF608"/>
      <c r="KG608"/>
      <c r="KH608"/>
      <c r="KI608"/>
      <c r="KJ608"/>
      <c r="KK608"/>
      <c r="KL608"/>
      <c r="KM608"/>
      <c r="KN608"/>
      <c r="KO608"/>
      <c r="KP608"/>
      <c r="KQ608"/>
      <c r="KR608"/>
      <c r="KS608"/>
    </row>
    <row r="609" spans="2:305" hidden="1" x14ac:dyDescent="0.25">
      <c r="B609"/>
      <c r="C609"/>
      <c r="D609"/>
      <c r="E609"/>
      <c r="F609"/>
      <c r="G609"/>
      <c r="H609"/>
      <c r="I609"/>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M609"/>
      <c r="CN609"/>
      <c r="CO609"/>
      <c r="CP609"/>
      <c r="CQ609"/>
      <c r="CR609"/>
      <c r="CS609"/>
      <c r="CT609"/>
      <c r="CU609"/>
      <c r="CV609"/>
      <c r="CW609"/>
      <c r="CX609"/>
      <c r="CY609"/>
      <c r="CZ609"/>
      <c r="DA609"/>
      <c r="DB609"/>
      <c r="DC609"/>
      <c r="DD609"/>
      <c r="DE609"/>
      <c r="DF609"/>
      <c r="DG609"/>
      <c r="DH609"/>
      <c r="DI609"/>
      <c r="DJ609"/>
      <c r="DK609"/>
      <c r="DL609"/>
      <c r="DM609"/>
      <c r="DN609"/>
      <c r="DO609"/>
      <c r="DP609"/>
      <c r="DQ609"/>
      <c r="DR609"/>
      <c r="DS609"/>
      <c r="DT609"/>
      <c r="DU609"/>
      <c r="DV609"/>
      <c r="DW609"/>
      <c r="DX609"/>
      <c r="DY609"/>
      <c r="DZ609"/>
      <c r="EA609"/>
      <c r="EB609"/>
      <c r="EC609"/>
      <c r="ED609"/>
      <c r="EE609"/>
      <c r="EF609"/>
      <c r="EG609"/>
      <c r="EH609"/>
      <c r="EI609"/>
      <c r="EJ609"/>
      <c r="EK609"/>
      <c r="EL609"/>
      <c r="EM609"/>
      <c r="EN609"/>
      <c r="EO609"/>
      <c r="EP609"/>
      <c r="EQ609"/>
      <c r="ER609"/>
      <c r="ES609"/>
      <c r="ET609"/>
      <c r="EU609"/>
      <c r="EV609"/>
      <c r="EW609"/>
      <c r="EX609"/>
      <c r="EY609"/>
      <c r="EZ609"/>
      <c r="FA609"/>
      <c r="FB609"/>
      <c r="FC609"/>
      <c r="FD609"/>
      <c r="FE609"/>
      <c r="FF609"/>
      <c r="FG609"/>
      <c r="FH609"/>
      <c r="FI609"/>
      <c r="FJ609"/>
      <c r="FK609"/>
      <c r="FL609"/>
      <c r="FM609"/>
      <c r="FN609"/>
      <c r="FO609"/>
      <c r="FP609"/>
      <c r="FQ609"/>
      <c r="FR609"/>
      <c r="FS609"/>
      <c r="FT609"/>
      <c r="FU609"/>
      <c r="FV609"/>
      <c r="FW609"/>
      <c r="FX609"/>
      <c r="FY609"/>
      <c r="FZ609"/>
      <c r="GA609"/>
      <c r="GB609"/>
      <c r="GC609"/>
      <c r="GD609"/>
      <c r="GE609"/>
      <c r="GF609"/>
      <c r="GG609"/>
      <c r="GH609"/>
      <c r="GI609"/>
      <c r="GJ609"/>
      <c r="GK609"/>
      <c r="GL609"/>
      <c r="GM609"/>
      <c r="GN609"/>
      <c r="GO609"/>
      <c r="GP609"/>
      <c r="GQ609"/>
      <c r="GR609"/>
      <c r="GS609"/>
      <c r="GT609"/>
      <c r="GU609"/>
      <c r="GV609"/>
      <c r="GW609"/>
      <c r="GX609"/>
      <c r="GY609"/>
      <c r="GZ609"/>
      <c r="HA609"/>
      <c r="HB609"/>
      <c r="HC609"/>
      <c r="HD609"/>
      <c r="HE609"/>
      <c r="HF609"/>
      <c r="HG609"/>
      <c r="HH609"/>
      <c r="HI609"/>
      <c r="HJ609"/>
      <c r="HK609"/>
      <c r="HL609"/>
      <c r="HM609"/>
      <c r="HN609"/>
      <c r="HO609"/>
      <c r="HP609"/>
      <c r="HQ609"/>
      <c r="HR609"/>
      <c r="HS609"/>
      <c r="HT609"/>
      <c r="HU609"/>
      <c r="HV609"/>
      <c r="HW609"/>
      <c r="HX609"/>
      <c r="HY609"/>
      <c r="HZ609"/>
      <c r="IA609"/>
      <c r="IB609"/>
      <c r="IC609"/>
      <c r="ID609"/>
      <c r="IE609"/>
      <c r="IF609"/>
      <c r="IG609"/>
      <c r="IH609"/>
      <c r="II609"/>
      <c r="IJ609"/>
      <c r="IK609"/>
      <c r="IL609"/>
      <c r="IM609"/>
      <c r="IN609"/>
      <c r="IO609"/>
      <c r="IP609"/>
      <c r="IQ609"/>
      <c r="IR609"/>
      <c r="IS609"/>
      <c r="IT609"/>
      <c r="IU609"/>
      <c r="IV609"/>
      <c r="IW609"/>
      <c r="IX609"/>
      <c r="IY609"/>
      <c r="IZ609"/>
      <c r="JA609"/>
      <c r="JB609"/>
      <c r="JC609"/>
      <c r="JD609"/>
      <c r="JE609"/>
      <c r="JF609"/>
      <c r="JG609"/>
      <c r="JH609"/>
      <c r="JI609"/>
      <c r="JJ609"/>
      <c r="JK609"/>
      <c r="JL609"/>
      <c r="JM609"/>
      <c r="JN609"/>
      <c r="JO609"/>
      <c r="JP609"/>
      <c r="JQ609"/>
      <c r="JR609"/>
      <c r="JS609"/>
      <c r="JT609"/>
      <c r="JU609"/>
      <c r="JV609"/>
      <c r="JW609"/>
      <c r="JX609"/>
      <c r="JY609"/>
      <c r="JZ609"/>
      <c r="KA609"/>
      <c r="KB609"/>
      <c r="KC609"/>
      <c r="KD609"/>
      <c r="KE609"/>
      <c r="KF609"/>
      <c r="KG609"/>
      <c r="KH609"/>
      <c r="KI609"/>
      <c r="KJ609"/>
      <c r="KK609"/>
      <c r="KL609"/>
      <c r="KM609"/>
      <c r="KN609"/>
      <c r="KO609"/>
      <c r="KP609"/>
      <c r="KQ609"/>
      <c r="KR609"/>
      <c r="KS609"/>
    </row>
    <row r="610" spans="2:305" hidden="1" x14ac:dyDescent="0.25">
      <c r="B610"/>
      <c r="C610"/>
      <c r="D610"/>
      <c r="E610"/>
      <c r="F610"/>
      <c r="G610"/>
      <c r="H610"/>
      <c r="I610"/>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M610"/>
      <c r="CN610"/>
      <c r="CO610"/>
      <c r="CP610"/>
      <c r="CQ610"/>
      <c r="CR610"/>
      <c r="CS610"/>
      <c r="CT610"/>
      <c r="CU610"/>
      <c r="CV610"/>
      <c r="CW610"/>
      <c r="CX610"/>
      <c r="CY610"/>
      <c r="CZ610"/>
      <c r="DA610"/>
      <c r="DB610"/>
      <c r="DC610"/>
      <c r="DD610"/>
      <c r="DE610"/>
      <c r="DF610"/>
      <c r="DG610"/>
      <c r="DH610"/>
      <c r="DI610"/>
      <c r="DJ610"/>
      <c r="DK610"/>
      <c r="DL610"/>
      <c r="DM610"/>
      <c r="DN610"/>
      <c r="DO610"/>
      <c r="DP610"/>
      <c r="DQ610"/>
      <c r="DR610"/>
      <c r="DS610"/>
      <c r="DT610"/>
      <c r="DU610"/>
      <c r="DV610"/>
      <c r="DW610"/>
      <c r="DX610"/>
      <c r="DY610"/>
      <c r="DZ610"/>
      <c r="EA610"/>
      <c r="EB610"/>
      <c r="EC610"/>
      <c r="ED610"/>
      <c r="EE610"/>
      <c r="EF610"/>
      <c r="EG610"/>
      <c r="EH610"/>
      <c r="EI610"/>
      <c r="EJ610"/>
      <c r="EK610"/>
      <c r="EL610"/>
      <c r="EM610"/>
      <c r="EN610"/>
      <c r="EO610"/>
      <c r="EP610"/>
      <c r="EQ610"/>
      <c r="ER610"/>
      <c r="ES610"/>
      <c r="ET610"/>
      <c r="EU610"/>
      <c r="EV610"/>
      <c r="EW610"/>
      <c r="EX610"/>
      <c r="EY610"/>
      <c r="EZ610"/>
      <c r="FA610"/>
      <c r="FB610"/>
      <c r="FC610"/>
      <c r="FD610"/>
      <c r="FE610"/>
      <c r="FF610"/>
      <c r="FG610"/>
      <c r="FH610"/>
      <c r="FI610"/>
      <c r="FJ610"/>
      <c r="FK610"/>
      <c r="FL610"/>
      <c r="FM610"/>
      <c r="FN610"/>
      <c r="FO610"/>
      <c r="FP610"/>
      <c r="FQ610"/>
      <c r="FR610"/>
      <c r="FS610"/>
      <c r="FT610"/>
      <c r="FU610"/>
      <c r="FV610"/>
      <c r="FW610"/>
      <c r="FX610"/>
      <c r="FY610"/>
      <c r="FZ610"/>
      <c r="GA610"/>
      <c r="GB610"/>
      <c r="GC610"/>
      <c r="GD610"/>
      <c r="GE610"/>
      <c r="GF610"/>
      <c r="GG610"/>
      <c r="GH610"/>
      <c r="GI610"/>
      <c r="GJ610"/>
      <c r="GK610"/>
      <c r="GL610"/>
      <c r="GM610"/>
      <c r="GN610"/>
      <c r="GO610"/>
      <c r="GP610"/>
      <c r="GQ610"/>
      <c r="GR610"/>
      <c r="GS610"/>
      <c r="GT610"/>
      <c r="GU610"/>
      <c r="GV610"/>
      <c r="GW610"/>
      <c r="GX610"/>
      <c r="GY610"/>
      <c r="GZ610"/>
      <c r="HA610"/>
      <c r="HB610"/>
      <c r="HC610"/>
      <c r="HD610"/>
      <c r="HE610"/>
      <c r="HF610"/>
      <c r="HG610"/>
      <c r="HH610"/>
      <c r="HI610"/>
      <c r="HJ610"/>
      <c r="HK610"/>
      <c r="HL610"/>
      <c r="HM610"/>
      <c r="HN610"/>
      <c r="HO610"/>
      <c r="HP610"/>
      <c r="HQ610"/>
      <c r="HR610"/>
      <c r="HS610"/>
      <c r="HT610"/>
      <c r="HU610"/>
      <c r="HV610"/>
      <c r="HW610"/>
      <c r="HX610"/>
      <c r="HY610"/>
      <c r="HZ610"/>
      <c r="IA610"/>
      <c r="IB610"/>
      <c r="IC610"/>
      <c r="ID610"/>
      <c r="IE610"/>
      <c r="IF610"/>
      <c r="IG610"/>
      <c r="IH610"/>
      <c r="II610"/>
      <c r="IJ610"/>
      <c r="IK610"/>
      <c r="IL610"/>
      <c r="IM610"/>
      <c r="IN610"/>
      <c r="IO610"/>
      <c r="IP610"/>
      <c r="IQ610"/>
      <c r="IR610"/>
      <c r="IS610"/>
      <c r="IT610"/>
      <c r="IU610"/>
      <c r="IV610"/>
      <c r="IW610"/>
      <c r="IX610"/>
      <c r="IY610"/>
      <c r="IZ610"/>
      <c r="JA610"/>
      <c r="JB610"/>
      <c r="JC610"/>
      <c r="JD610"/>
      <c r="JE610"/>
      <c r="JF610"/>
      <c r="JG610"/>
      <c r="JH610"/>
      <c r="JI610"/>
      <c r="JJ610"/>
      <c r="JK610"/>
      <c r="JL610"/>
      <c r="JM610"/>
      <c r="JN610"/>
      <c r="JO610"/>
      <c r="JP610"/>
      <c r="JQ610"/>
      <c r="JR610"/>
      <c r="JS610"/>
      <c r="JT610"/>
      <c r="JU610"/>
      <c r="JV610"/>
      <c r="JW610"/>
      <c r="JX610"/>
      <c r="JY610"/>
      <c r="JZ610"/>
      <c r="KA610"/>
      <c r="KB610"/>
      <c r="KC610"/>
      <c r="KD610"/>
      <c r="KE610"/>
      <c r="KF610"/>
      <c r="KG610"/>
      <c r="KH610"/>
      <c r="KI610"/>
      <c r="KJ610"/>
      <c r="KK610"/>
      <c r="KL610"/>
      <c r="KM610"/>
      <c r="KN610"/>
      <c r="KO610"/>
      <c r="KP610"/>
      <c r="KQ610"/>
      <c r="KR610"/>
      <c r="KS610"/>
    </row>
    <row r="611" spans="2:305" hidden="1" x14ac:dyDescent="0.25">
      <c r="B611"/>
      <c r="C611"/>
      <c r="D611"/>
      <c r="E611"/>
      <c r="F611"/>
      <c r="G611"/>
      <c r="H611"/>
      <c r="I611"/>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M611"/>
      <c r="CN611"/>
      <c r="CO611"/>
      <c r="CP611"/>
      <c r="CQ611"/>
      <c r="CR611"/>
      <c r="CS611"/>
      <c r="CT611"/>
      <c r="CU611"/>
      <c r="CV611"/>
      <c r="CW611"/>
      <c r="CX611"/>
      <c r="CY611"/>
      <c r="CZ611"/>
      <c r="DA611"/>
      <c r="DB611"/>
      <c r="DC611"/>
      <c r="DD611"/>
      <c r="DE611"/>
      <c r="DF611"/>
      <c r="DG611"/>
      <c r="DH611"/>
      <c r="DI611"/>
      <c r="DJ611"/>
      <c r="DK611"/>
      <c r="DL611"/>
      <c r="DM611"/>
      <c r="DN611"/>
      <c r="DO611"/>
      <c r="DP611"/>
      <c r="DQ611"/>
      <c r="DR611"/>
      <c r="DS611"/>
      <c r="DT611"/>
      <c r="DU611"/>
      <c r="DV611"/>
      <c r="DW611"/>
      <c r="DX611"/>
      <c r="DY611"/>
      <c r="DZ611"/>
      <c r="EA611"/>
      <c r="EB611"/>
      <c r="EC611"/>
      <c r="ED611"/>
      <c r="EE611"/>
      <c r="EF611"/>
      <c r="EG611"/>
      <c r="EH611"/>
      <c r="EI611"/>
      <c r="EJ611"/>
      <c r="EK611"/>
      <c r="EL611"/>
      <c r="EM611"/>
      <c r="EN611"/>
      <c r="EO611"/>
      <c r="EP611"/>
      <c r="EQ611"/>
      <c r="ER611"/>
      <c r="ES611"/>
      <c r="ET611"/>
      <c r="EU611"/>
      <c r="EV611"/>
      <c r="EW611"/>
      <c r="EX611"/>
      <c r="EY611"/>
      <c r="EZ611"/>
      <c r="FA611"/>
      <c r="FB611"/>
      <c r="FC611"/>
      <c r="FD611"/>
      <c r="FE611"/>
      <c r="FF611"/>
      <c r="FG611"/>
      <c r="FH611"/>
      <c r="FI611"/>
      <c r="FJ611"/>
      <c r="FK611"/>
      <c r="FL611"/>
      <c r="FM611"/>
      <c r="FN611"/>
      <c r="FO611"/>
      <c r="FP611"/>
      <c r="FQ611"/>
      <c r="FR611"/>
      <c r="FS611"/>
      <c r="FT611"/>
      <c r="FU611"/>
      <c r="FV611"/>
      <c r="FW611"/>
      <c r="FX611"/>
      <c r="FY611"/>
      <c r="FZ611"/>
      <c r="GA611"/>
      <c r="GB611"/>
      <c r="GC611"/>
      <c r="GD611"/>
      <c r="GE611"/>
      <c r="GF611"/>
      <c r="GG611"/>
      <c r="GH611"/>
      <c r="GI611"/>
      <c r="GJ611"/>
      <c r="GK611"/>
      <c r="GL611"/>
      <c r="GM611"/>
      <c r="GN611"/>
      <c r="GO611"/>
      <c r="GP611"/>
      <c r="GQ611"/>
      <c r="GR611"/>
      <c r="GS611"/>
      <c r="GT611"/>
      <c r="GU611"/>
      <c r="GV611"/>
      <c r="GW611"/>
      <c r="GX611"/>
      <c r="GY611"/>
      <c r="GZ611"/>
      <c r="HA611"/>
      <c r="HB611"/>
      <c r="HC611"/>
      <c r="HD611"/>
      <c r="HE611"/>
      <c r="HF611"/>
      <c r="HG611"/>
      <c r="HH611"/>
      <c r="HI611"/>
      <c r="HJ611"/>
      <c r="HK611"/>
      <c r="HL611"/>
      <c r="HM611"/>
      <c r="HN611"/>
      <c r="HO611"/>
      <c r="HP611"/>
      <c r="HQ611"/>
      <c r="HR611"/>
      <c r="HS611"/>
      <c r="HT611"/>
      <c r="HU611"/>
      <c r="HV611"/>
      <c r="HW611"/>
      <c r="HX611"/>
      <c r="HY611"/>
      <c r="HZ611"/>
      <c r="IA611"/>
      <c r="IB611"/>
      <c r="IC611"/>
      <c r="ID611"/>
      <c r="IE611"/>
      <c r="IF611"/>
      <c r="IG611"/>
      <c r="IH611"/>
      <c r="II611"/>
      <c r="IJ611"/>
      <c r="IK611"/>
      <c r="IL611"/>
      <c r="IM611"/>
      <c r="IN611"/>
      <c r="IO611"/>
      <c r="IP611"/>
      <c r="IQ611"/>
      <c r="IR611"/>
      <c r="IS611"/>
      <c r="IT611"/>
      <c r="IU611"/>
      <c r="IV611"/>
      <c r="IW611"/>
      <c r="IX611"/>
      <c r="IY611"/>
      <c r="IZ611"/>
      <c r="JA611"/>
      <c r="JB611"/>
      <c r="JC611"/>
      <c r="JD611"/>
      <c r="JE611"/>
      <c r="JF611"/>
      <c r="JG611"/>
      <c r="JH611"/>
      <c r="JI611"/>
      <c r="JJ611"/>
      <c r="JK611"/>
      <c r="JL611"/>
      <c r="JM611"/>
      <c r="JN611"/>
      <c r="JO611"/>
      <c r="JP611"/>
      <c r="JQ611"/>
      <c r="JR611"/>
      <c r="JS611"/>
      <c r="JT611"/>
      <c r="JU611"/>
      <c r="JV611"/>
      <c r="JW611"/>
      <c r="JX611"/>
      <c r="JY611"/>
      <c r="JZ611"/>
      <c r="KA611"/>
      <c r="KB611"/>
      <c r="KC611"/>
      <c r="KD611"/>
      <c r="KE611"/>
      <c r="KF611"/>
      <c r="KG611"/>
      <c r="KH611"/>
      <c r="KI611"/>
      <c r="KJ611"/>
      <c r="KK611"/>
      <c r="KL611"/>
      <c r="KM611"/>
      <c r="KN611"/>
      <c r="KO611"/>
      <c r="KP611"/>
      <c r="KQ611"/>
      <c r="KR611"/>
      <c r="KS611"/>
    </row>
    <row r="612" spans="2:305" hidden="1" x14ac:dyDescent="0.25">
      <c r="B612"/>
      <c r="C612"/>
      <c r="D612"/>
      <c r="E612"/>
      <c r="F612"/>
      <c r="G612"/>
      <c r="H612"/>
      <c r="I612"/>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M612"/>
      <c r="CN612"/>
      <c r="CO612"/>
      <c r="CP612"/>
      <c r="CQ612"/>
      <c r="CR612"/>
      <c r="CS612"/>
      <c r="CT612"/>
      <c r="CU612"/>
      <c r="CV612"/>
      <c r="CW612"/>
      <c r="CX612"/>
      <c r="CY612"/>
      <c r="CZ612"/>
      <c r="DA612"/>
      <c r="DB612"/>
      <c r="DC612"/>
      <c r="DD612"/>
      <c r="DE612"/>
      <c r="DF612"/>
      <c r="DG612"/>
      <c r="DH612"/>
      <c r="DI612"/>
      <c r="DJ612"/>
      <c r="DK612"/>
      <c r="DL612"/>
      <c r="DM612"/>
      <c r="DN612"/>
      <c r="DO612"/>
      <c r="DP612"/>
      <c r="DQ612"/>
      <c r="DR612"/>
      <c r="DS612"/>
      <c r="DT612"/>
      <c r="DU612"/>
      <c r="DV612"/>
      <c r="DW612"/>
      <c r="DX612"/>
      <c r="DY612"/>
      <c r="DZ612"/>
      <c r="EA612"/>
      <c r="EB612"/>
      <c r="EC612"/>
      <c r="ED612"/>
      <c r="EE612"/>
      <c r="EF612"/>
      <c r="EG612"/>
      <c r="EH612"/>
      <c r="EI612"/>
      <c r="EJ612"/>
      <c r="EK612"/>
      <c r="EL612"/>
      <c r="EM612"/>
      <c r="EN612"/>
      <c r="EO612"/>
      <c r="EP612"/>
      <c r="EQ612"/>
      <c r="ER612"/>
      <c r="ES612"/>
      <c r="ET612"/>
      <c r="EU612"/>
      <c r="EV612"/>
      <c r="EW612"/>
      <c r="EX612"/>
      <c r="EY612"/>
      <c r="EZ612"/>
      <c r="FA612"/>
      <c r="FB612"/>
      <c r="FC612"/>
      <c r="FD612"/>
      <c r="FE612"/>
      <c r="FF612"/>
      <c r="FG612"/>
      <c r="FH612"/>
      <c r="FI612"/>
      <c r="FJ612"/>
      <c r="FK612"/>
      <c r="FL612"/>
      <c r="FM612"/>
      <c r="FN612"/>
      <c r="FO612"/>
      <c r="FP612"/>
      <c r="FQ612"/>
      <c r="FR612"/>
      <c r="FS612"/>
      <c r="FT612"/>
      <c r="FU612"/>
      <c r="FV612"/>
      <c r="FW612"/>
      <c r="FX612"/>
      <c r="FY612"/>
      <c r="FZ612"/>
      <c r="GA612"/>
      <c r="GB612"/>
      <c r="GC612"/>
      <c r="GD612"/>
      <c r="GE612"/>
      <c r="GF612"/>
      <c r="GG612"/>
      <c r="GH612"/>
      <c r="GI612"/>
      <c r="GJ612"/>
      <c r="GK612"/>
      <c r="GL612"/>
      <c r="GM612"/>
      <c r="GN612"/>
      <c r="GO612"/>
      <c r="GP612"/>
      <c r="GQ612"/>
      <c r="GR612"/>
      <c r="GS612"/>
      <c r="GT612"/>
      <c r="GU612"/>
      <c r="GV612"/>
      <c r="GW612"/>
      <c r="GX612"/>
      <c r="GY612"/>
      <c r="GZ612"/>
      <c r="HA612"/>
      <c r="HB612"/>
      <c r="HC612"/>
      <c r="HD612"/>
      <c r="HE612"/>
      <c r="HF612"/>
      <c r="HG612"/>
      <c r="HH612"/>
      <c r="HI612"/>
      <c r="HJ612"/>
      <c r="HK612"/>
      <c r="HL612"/>
      <c r="HM612"/>
      <c r="HN612"/>
      <c r="HO612"/>
      <c r="HP612"/>
      <c r="HQ612"/>
      <c r="HR612"/>
      <c r="HS612"/>
      <c r="HT612"/>
      <c r="HU612"/>
      <c r="HV612"/>
      <c r="HW612"/>
      <c r="HX612"/>
      <c r="HY612"/>
      <c r="HZ612"/>
      <c r="IA612"/>
      <c r="IB612"/>
      <c r="IC612"/>
      <c r="ID612"/>
      <c r="IE612"/>
      <c r="IF612"/>
      <c r="IG612"/>
      <c r="IH612"/>
      <c r="II612"/>
      <c r="IJ612"/>
      <c r="IK612"/>
      <c r="IL612"/>
      <c r="IM612"/>
      <c r="IN612"/>
      <c r="IO612"/>
      <c r="IP612"/>
      <c r="IQ612"/>
      <c r="IR612"/>
      <c r="IS612"/>
      <c r="IT612"/>
      <c r="IU612"/>
      <c r="IV612"/>
      <c r="IW612"/>
      <c r="IX612"/>
      <c r="IY612"/>
      <c r="IZ612"/>
      <c r="JA612"/>
      <c r="JB612"/>
      <c r="JC612"/>
      <c r="JD612"/>
      <c r="JE612"/>
      <c r="JF612"/>
      <c r="JG612"/>
      <c r="JH612"/>
      <c r="JI612"/>
      <c r="JJ612"/>
      <c r="JK612"/>
      <c r="JL612"/>
      <c r="JM612"/>
      <c r="JN612"/>
      <c r="JO612"/>
      <c r="JP612"/>
      <c r="JQ612"/>
      <c r="JR612"/>
      <c r="JS612"/>
      <c r="JT612"/>
      <c r="JU612"/>
      <c r="JV612"/>
      <c r="JW612"/>
      <c r="JX612"/>
      <c r="JY612"/>
      <c r="JZ612"/>
      <c r="KA612"/>
      <c r="KB612"/>
      <c r="KC612"/>
      <c r="KD612"/>
      <c r="KE612"/>
      <c r="KF612"/>
      <c r="KG612"/>
      <c r="KH612"/>
      <c r="KI612"/>
      <c r="KJ612"/>
      <c r="KK612"/>
      <c r="KL612"/>
      <c r="KM612"/>
      <c r="KN612"/>
      <c r="KO612"/>
      <c r="KP612"/>
      <c r="KQ612"/>
      <c r="KR612"/>
      <c r="KS612"/>
    </row>
    <row r="613" spans="2:305" hidden="1" x14ac:dyDescent="0.25">
      <c r="B613"/>
      <c r="C613"/>
      <c r="D613"/>
      <c r="E613"/>
      <c r="F613"/>
      <c r="G613"/>
      <c r="H613"/>
      <c r="I613"/>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M613"/>
      <c r="CN613"/>
      <c r="CO613"/>
      <c r="CP613"/>
      <c r="CQ613"/>
      <c r="CR613"/>
      <c r="CS613"/>
      <c r="CT613"/>
      <c r="CU613"/>
      <c r="CV613"/>
      <c r="CW613"/>
      <c r="CX613"/>
      <c r="CY613"/>
      <c r="CZ613"/>
      <c r="DA613"/>
      <c r="DB613"/>
      <c r="DC613"/>
      <c r="DD613"/>
      <c r="DE613"/>
      <c r="DF613"/>
      <c r="DG613"/>
      <c r="DH613"/>
      <c r="DI613"/>
      <c r="DJ613"/>
      <c r="DK613"/>
      <c r="DL613"/>
      <c r="DM613"/>
      <c r="DN613"/>
      <c r="DO613"/>
      <c r="DP613"/>
      <c r="DQ613"/>
      <c r="DR613"/>
      <c r="DS613"/>
      <c r="DT613"/>
      <c r="DU613"/>
      <c r="DV613"/>
      <c r="DW613"/>
      <c r="DX613"/>
      <c r="DY613"/>
      <c r="DZ613"/>
      <c r="EA613"/>
      <c r="EB613"/>
      <c r="EC613"/>
      <c r="ED613"/>
      <c r="EE613"/>
      <c r="EF613"/>
      <c r="EG613"/>
      <c r="EH613"/>
      <c r="EI613"/>
      <c r="EJ613"/>
      <c r="EK613"/>
      <c r="EL613"/>
      <c r="EM613"/>
      <c r="EN613"/>
      <c r="EO613"/>
      <c r="EP613"/>
      <c r="EQ613"/>
      <c r="ER613"/>
      <c r="ES613"/>
      <c r="ET613"/>
      <c r="EU613"/>
      <c r="EV613"/>
      <c r="EW613"/>
      <c r="EX613"/>
      <c r="EY613"/>
      <c r="EZ613"/>
      <c r="FA613"/>
      <c r="FB613"/>
      <c r="FC613"/>
      <c r="FD613"/>
      <c r="FE613"/>
      <c r="FF613"/>
      <c r="FG613"/>
      <c r="FH613"/>
      <c r="FI613"/>
      <c r="FJ613"/>
      <c r="FK613"/>
      <c r="FL613"/>
      <c r="FM613"/>
      <c r="FN613"/>
      <c r="FO613"/>
      <c r="FP613"/>
      <c r="FQ613"/>
      <c r="FR613"/>
      <c r="FS613"/>
      <c r="FT613"/>
      <c r="FU613"/>
      <c r="FV613"/>
      <c r="FW613"/>
      <c r="FX613"/>
      <c r="FY613"/>
      <c r="FZ613"/>
      <c r="GA613"/>
      <c r="GB613"/>
      <c r="GC613"/>
      <c r="GD613"/>
      <c r="GE613"/>
      <c r="GF613"/>
      <c r="GG613"/>
      <c r="GH613"/>
      <c r="GI613"/>
      <c r="GJ613"/>
      <c r="GK613"/>
      <c r="GL613"/>
      <c r="GM613"/>
      <c r="GN613"/>
      <c r="GO613"/>
      <c r="GP613"/>
      <c r="GQ613"/>
      <c r="GR613"/>
      <c r="GS613"/>
      <c r="GT613"/>
      <c r="GU613"/>
      <c r="GV613"/>
      <c r="GW613"/>
      <c r="GX613"/>
      <c r="GY613"/>
      <c r="GZ613"/>
      <c r="HA613"/>
      <c r="HB613"/>
      <c r="HC613"/>
      <c r="HD613"/>
      <c r="HE613"/>
      <c r="HF613"/>
      <c r="HG613"/>
      <c r="HH613"/>
      <c r="HI613"/>
      <c r="HJ613"/>
      <c r="HK613"/>
      <c r="HL613"/>
      <c r="HM613"/>
      <c r="HN613"/>
      <c r="HO613"/>
      <c r="HP613"/>
      <c r="HQ613"/>
      <c r="HR613"/>
      <c r="HS613"/>
      <c r="HT613"/>
      <c r="HU613"/>
      <c r="HV613"/>
      <c r="HW613"/>
      <c r="HX613"/>
      <c r="HY613"/>
      <c r="HZ613"/>
      <c r="IA613"/>
      <c r="IB613"/>
      <c r="IC613"/>
      <c r="ID613"/>
      <c r="IE613"/>
      <c r="IF613"/>
      <c r="IG613"/>
      <c r="IH613"/>
      <c r="II613"/>
      <c r="IJ613"/>
      <c r="IK613"/>
      <c r="IL613"/>
      <c r="IM613"/>
      <c r="IN613"/>
      <c r="IO613"/>
      <c r="IP613"/>
      <c r="IQ613"/>
      <c r="IR613"/>
      <c r="IS613"/>
      <c r="IT613"/>
      <c r="IU613"/>
      <c r="IV613"/>
      <c r="IW613"/>
      <c r="IX613"/>
      <c r="IY613"/>
      <c r="IZ613"/>
      <c r="JA613"/>
      <c r="JB613"/>
      <c r="JC613"/>
      <c r="JD613"/>
      <c r="JE613"/>
      <c r="JF613"/>
      <c r="JG613"/>
      <c r="JH613"/>
      <c r="JI613"/>
      <c r="JJ613"/>
      <c r="JK613"/>
      <c r="JL613"/>
      <c r="JM613"/>
      <c r="JN613"/>
      <c r="JO613"/>
      <c r="JP613"/>
      <c r="JQ613"/>
      <c r="JR613"/>
      <c r="JS613"/>
      <c r="JT613"/>
      <c r="JU613"/>
      <c r="JV613"/>
      <c r="JW613"/>
      <c r="JX613"/>
      <c r="JY613"/>
      <c r="JZ613"/>
      <c r="KA613"/>
      <c r="KB613"/>
      <c r="KC613"/>
      <c r="KD613"/>
      <c r="KE613"/>
      <c r="KF613"/>
      <c r="KG613"/>
      <c r="KH613"/>
      <c r="KI613"/>
      <c r="KJ613"/>
      <c r="KK613"/>
      <c r="KL613"/>
      <c r="KM613"/>
      <c r="KN613"/>
      <c r="KO613"/>
      <c r="KP613"/>
      <c r="KQ613"/>
      <c r="KR613"/>
      <c r="KS613"/>
    </row>
    <row r="614" spans="2:305" hidden="1" x14ac:dyDescent="0.25">
      <c r="B614"/>
      <c r="C614"/>
      <c r="D614"/>
      <c r="E614"/>
      <c r="F614"/>
      <c r="G614"/>
      <c r="H614"/>
      <c r="I614"/>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M614"/>
      <c r="CN614"/>
      <c r="CO614"/>
      <c r="CP614"/>
      <c r="CQ614"/>
      <c r="CR614"/>
      <c r="CS614"/>
      <c r="CT614"/>
      <c r="CU614"/>
      <c r="CV614"/>
      <c r="CW614"/>
      <c r="CX614"/>
      <c r="CY614"/>
      <c r="CZ614"/>
      <c r="DA614"/>
      <c r="DB614"/>
      <c r="DC614"/>
      <c r="DD614"/>
      <c r="DE614"/>
      <c r="DF614"/>
      <c r="DG614"/>
      <c r="DH614"/>
      <c r="DI614"/>
      <c r="DJ614"/>
      <c r="DK614"/>
      <c r="DL614"/>
      <c r="DM614"/>
      <c r="DN614"/>
      <c r="DO614"/>
      <c r="DP614"/>
      <c r="DQ614"/>
      <c r="DR614"/>
      <c r="DS614"/>
      <c r="DT614"/>
      <c r="DU614"/>
      <c r="DV614"/>
      <c r="DW614"/>
      <c r="DX614"/>
      <c r="DY614"/>
      <c r="DZ614"/>
      <c r="EA614"/>
      <c r="EB614"/>
      <c r="EC614"/>
      <c r="ED614"/>
      <c r="EE614"/>
      <c r="EF614"/>
      <c r="EG614"/>
      <c r="EH614"/>
      <c r="EI614"/>
      <c r="EJ614"/>
      <c r="EK614"/>
      <c r="EL614"/>
      <c r="EM614"/>
      <c r="EN614"/>
      <c r="EO614"/>
      <c r="EP614"/>
      <c r="EQ614"/>
      <c r="ER614"/>
      <c r="ES614"/>
      <c r="ET614"/>
      <c r="EU614"/>
      <c r="EV614"/>
      <c r="EW614"/>
      <c r="EX614"/>
      <c r="EY614"/>
      <c r="EZ614"/>
      <c r="FA614"/>
      <c r="FB614"/>
      <c r="FC614"/>
      <c r="FD614"/>
      <c r="FE614"/>
      <c r="FF614"/>
      <c r="FG614"/>
      <c r="FH614"/>
      <c r="FI614"/>
      <c r="FJ614"/>
      <c r="FK614"/>
      <c r="FL614"/>
      <c r="FM614"/>
      <c r="FN614"/>
      <c r="FO614"/>
      <c r="FP614"/>
      <c r="FQ614"/>
      <c r="FR614"/>
      <c r="FS614"/>
      <c r="FT614"/>
      <c r="FU614"/>
      <c r="FV614"/>
      <c r="FW614"/>
      <c r="FX614"/>
      <c r="FY614"/>
      <c r="FZ614"/>
      <c r="GA614"/>
      <c r="GB614"/>
      <c r="GC614"/>
      <c r="GD614"/>
      <c r="GE614"/>
      <c r="GF614"/>
      <c r="GG614"/>
      <c r="GH614"/>
      <c r="GI614"/>
      <c r="GJ614"/>
      <c r="GK614"/>
      <c r="GL614"/>
      <c r="GM614"/>
      <c r="GN614"/>
      <c r="GO614"/>
      <c r="GP614"/>
      <c r="GQ614"/>
      <c r="GR614"/>
      <c r="GS614"/>
      <c r="GT614"/>
      <c r="GU614"/>
      <c r="GV614"/>
      <c r="GW614"/>
      <c r="GX614"/>
      <c r="GY614"/>
      <c r="GZ614"/>
      <c r="HA614"/>
      <c r="HB614"/>
      <c r="HC614"/>
      <c r="HD614"/>
      <c r="HE614"/>
      <c r="HF614"/>
      <c r="HG614"/>
      <c r="HH614"/>
      <c r="HI614"/>
      <c r="HJ614"/>
      <c r="HK614"/>
      <c r="HL614"/>
      <c r="HM614"/>
      <c r="HN614"/>
      <c r="HO614"/>
      <c r="HP614"/>
      <c r="HQ614"/>
      <c r="HR614"/>
      <c r="HS614"/>
      <c r="HT614"/>
      <c r="HU614"/>
      <c r="HV614"/>
      <c r="HW614"/>
      <c r="HX614"/>
      <c r="HY614"/>
      <c r="HZ614"/>
      <c r="IA614"/>
      <c r="IB614"/>
      <c r="IC614"/>
      <c r="ID614"/>
      <c r="IE614"/>
      <c r="IF614"/>
      <c r="IG614"/>
      <c r="IH614"/>
      <c r="II614"/>
      <c r="IJ614"/>
      <c r="IK614"/>
      <c r="IL614"/>
      <c r="IM614"/>
      <c r="IN614"/>
      <c r="IO614"/>
      <c r="IP614"/>
      <c r="IQ614"/>
      <c r="IR614"/>
      <c r="IS614"/>
      <c r="IT614"/>
      <c r="IU614"/>
      <c r="IV614"/>
      <c r="IW614"/>
      <c r="IX614"/>
      <c r="IY614"/>
      <c r="IZ614"/>
      <c r="JA614"/>
      <c r="JB614"/>
      <c r="JC614"/>
      <c r="JD614"/>
      <c r="JE614"/>
      <c r="JF614"/>
      <c r="JG614"/>
      <c r="JH614"/>
      <c r="JI614"/>
      <c r="JJ614"/>
      <c r="JK614"/>
      <c r="JL614"/>
      <c r="JM614"/>
      <c r="JN614"/>
      <c r="JO614"/>
      <c r="JP614"/>
      <c r="JQ614"/>
      <c r="JR614"/>
      <c r="JS614"/>
      <c r="JT614"/>
      <c r="JU614"/>
      <c r="JV614"/>
      <c r="JW614"/>
      <c r="JX614"/>
      <c r="JY614"/>
      <c r="JZ614"/>
      <c r="KA614"/>
      <c r="KB614"/>
      <c r="KC614"/>
      <c r="KD614"/>
      <c r="KE614"/>
      <c r="KF614"/>
      <c r="KG614"/>
      <c r="KH614"/>
      <c r="KI614"/>
      <c r="KJ614"/>
      <c r="KK614"/>
      <c r="KL614"/>
      <c r="KM614"/>
      <c r="KN614"/>
      <c r="KO614"/>
      <c r="KP614"/>
      <c r="KQ614"/>
      <c r="KR614"/>
      <c r="KS614"/>
    </row>
    <row r="615" spans="2:305" hidden="1" x14ac:dyDescent="0.25">
      <c r="B615"/>
      <c r="C615"/>
      <c r="D615"/>
      <c r="E615"/>
      <c r="F615"/>
      <c r="G615"/>
      <c r="H615"/>
      <c r="I615"/>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M615"/>
      <c r="CN615"/>
      <c r="CO615"/>
      <c r="CP615"/>
      <c r="CQ615"/>
      <c r="CR615"/>
      <c r="CS615"/>
      <c r="CT615"/>
      <c r="CU615"/>
      <c r="CV615"/>
      <c r="CW615"/>
      <c r="CX615"/>
      <c r="CY615"/>
      <c r="CZ615"/>
      <c r="DA615"/>
      <c r="DB615"/>
      <c r="DC615"/>
      <c r="DD615"/>
      <c r="DE615"/>
      <c r="DF615"/>
      <c r="DG615"/>
      <c r="DH615"/>
      <c r="DI615"/>
      <c r="DJ615"/>
      <c r="DK615"/>
      <c r="DL615"/>
      <c r="DM615"/>
      <c r="DN615"/>
      <c r="DO615"/>
      <c r="DP615"/>
      <c r="DQ615"/>
      <c r="DR615"/>
      <c r="DS615"/>
      <c r="DT615"/>
      <c r="DU615"/>
      <c r="DV615"/>
      <c r="DW615"/>
      <c r="DX615"/>
      <c r="DY615"/>
      <c r="DZ615"/>
      <c r="EA615"/>
      <c r="EB615"/>
      <c r="EC615"/>
      <c r="ED615"/>
      <c r="EE615"/>
      <c r="EF615"/>
      <c r="EG615"/>
      <c r="EH615"/>
      <c r="EI615"/>
      <c r="EJ615"/>
      <c r="EK615"/>
      <c r="EL615"/>
      <c r="EM615"/>
      <c r="EN615"/>
      <c r="EO615"/>
      <c r="EP615"/>
      <c r="EQ615"/>
      <c r="ER615"/>
      <c r="ES615"/>
      <c r="ET615"/>
      <c r="EU615"/>
      <c r="EV615"/>
      <c r="EW615"/>
      <c r="EX615"/>
      <c r="EY615"/>
      <c r="EZ615"/>
      <c r="FA615"/>
      <c r="FB615"/>
      <c r="FC615"/>
      <c r="FD615"/>
      <c r="FE615"/>
      <c r="FF615"/>
      <c r="FG615"/>
      <c r="FH615"/>
      <c r="FI615"/>
      <c r="FJ615"/>
      <c r="FK615"/>
      <c r="FL615"/>
      <c r="FM615"/>
      <c r="FN615"/>
      <c r="FO615"/>
      <c r="FP615"/>
      <c r="FQ615"/>
      <c r="FR615"/>
      <c r="FS615"/>
      <c r="FT615"/>
      <c r="FU615"/>
      <c r="FV615"/>
      <c r="FW615"/>
      <c r="FX615"/>
      <c r="FY615"/>
      <c r="FZ615"/>
      <c r="GA615"/>
      <c r="GB615"/>
      <c r="GC615"/>
      <c r="GD615"/>
      <c r="GE615"/>
      <c r="GF615"/>
      <c r="GG615"/>
      <c r="GH615"/>
      <c r="GI615"/>
      <c r="GJ615"/>
      <c r="GK615"/>
      <c r="GL615"/>
      <c r="GM615"/>
      <c r="GN615"/>
      <c r="GO615"/>
      <c r="GP615"/>
      <c r="GQ615"/>
      <c r="GR615"/>
      <c r="GS615"/>
      <c r="GT615"/>
      <c r="GU615"/>
      <c r="GV615"/>
      <c r="GW615"/>
      <c r="GX615"/>
      <c r="GY615"/>
      <c r="GZ615"/>
      <c r="HA615"/>
      <c r="HB615"/>
      <c r="HC615"/>
      <c r="HD615"/>
      <c r="HE615"/>
      <c r="HF615"/>
      <c r="HG615"/>
      <c r="HH615"/>
      <c r="HI615"/>
      <c r="HJ615"/>
      <c r="HK615"/>
      <c r="HL615"/>
      <c r="HM615"/>
      <c r="HN615"/>
      <c r="HO615"/>
      <c r="HP615"/>
      <c r="HQ615"/>
      <c r="HR615"/>
      <c r="HS615"/>
      <c r="HT615"/>
      <c r="HU615"/>
      <c r="HV615"/>
      <c r="HW615"/>
      <c r="HX615"/>
      <c r="HY615"/>
      <c r="HZ615"/>
      <c r="IA615"/>
      <c r="IB615"/>
      <c r="IC615"/>
      <c r="ID615"/>
      <c r="IE615"/>
      <c r="IF615"/>
      <c r="IG615"/>
      <c r="IH615"/>
      <c r="II615"/>
      <c r="IJ615"/>
      <c r="IK615"/>
      <c r="IL615"/>
      <c r="IM615"/>
      <c r="IN615"/>
      <c r="IO615"/>
      <c r="IP615"/>
      <c r="IQ615"/>
      <c r="IR615"/>
      <c r="IS615"/>
      <c r="IT615"/>
      <c r="IU615"/>
      <c r="IV615"/>
      <c r="IW615"/>
      <c r="IX615"/>
      <c r="IY615"/>
      <c r="IZ615"/>
      <c r="JA615"/>
      <c r="JB615"/>
      <c r="JC615"/>
      <c r="JD615"/>
      <c r="JE615"/>
      <c r="JF615"/>
      <c r="JG615"/>
      <c r="JH615"/>
      <c r="JI615"/>
      <c r="JJ615"/>
      <c r="JK615"/>
      <c r="JL615"/>
      <c r="JM615"/>
      <c r="JN615"/>
      <c r="JO615"/>
      <c r="JP615"/>
      <c r="JQ615"/>
      <c r="JR615"/>
      <c r="JS615"/>
      <c r="JT615"/>
      <c r="JU615"/>
      <c r="JV615"/>
      <c r="JW615"/>
      <c r="JX615"/>
      <c r="JY615"/>
      <c r="JZ615"/>
      <c r="KA615"/>
      <c r="KB615"/>
      <c r="KC615"/>
      <c r="KD615"/>
      <c r="KE615"/>
      <c r="KF615"/>
      <c r="KG615"/>
      <c r="KH615"/>
      <c r="KI615"/>
      <c r="KJ615"/>
      <c r="KK615"/>
      <c r="KL615"/>
      <c r="KM615"/>
      <c r="KN615"/>
      <c r="KO615"/>
      <c r="KP615"/>
      <c r="KQ615"/>
      <c r="KR615"/>
      <c r="KS615"/>
    </row>
    <row r="616" spans="2:305" hidden="1" x14ac:dyDescent="0.25">
      <c r="B616"/>
      <c r="C616"/>
      <c r="D616"/>
      <c r="E616"/>
      <c r="F616"/>
      <c r="G616"/>
      <c r="H616"/>
      <c r="I616"/>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M616"/>
      <c r="CN616"/>
      <c r="CO616"/>
      <c r="CP616"/>
      <c r="CQ616"/>
      <c r="CR616"/>
      <c r="CS616"/>
      <c r="CT616"/>
      <c r="CU616"/>
      <c r="CV616"/>
      <c r="CW616"/>
      <c r="CX616"/>
      <c r="CY616"/>
      <c r="CZ616"/>
      <c r="DA616"/>
      <c r="DB616"/>
      <c r="DC616"/>
      <c r="DD616"/>
      <c r="DE616"/>
      <c r="DF616"/>
      <c r="DG616"/>
      <c r="DH616"/>
      <c r="DI616"/>
      <c r="DJ616"/>
      <c r="DK616"/>
      <c r="DL616"/>
      <c r="DM616"/>
      <c r="DN616"/>
      <c r="DO616"/>
      <c r="DP616"/>
      <c r="DQ616"/>
      <c r="DR616"/>
      <c r="DS616"/>
      <c r="DT616"/>
      <c r="DU616"/>
      <c r="DV616"/>
      <c r="DW616"/>
      <c r="DX616"/>
      <c r="DY616"/>
      <c r="DZ616"/>
      <c r="EA616"/>
      <c r="EB616"/>
      <c r="EC616"/>
      <c r="ED616"/>
      <c r="EE616"/>
      <c r="EF616"/>
      <c r="EG616"/>
      <c r="EH616"/>
      <c r="EI616"/>
      <c r="EJ616"/>
      <c r="EK616"/>
      <c r="EL616"/>
      <c r="EM616"/>
      <c r="EN616"/>
      <c r="EO616"/>
      <c r="EP616"/>
      <c r="EQ616"/>
      <c r="ER616"/>
      <c r="ES616"/>
      <c r="ET616"/>
      <c r="EU616"/>
      <c r="EV616"/>
      <c r="EW616"/>
      <c r="EX616"/>
      <c r="EY616"/>
      <c r="EZ616"/>
      <c r="FA616"/>
      <c r="FB616"/>
      <c r="FC616"/>
      <c r="FD616"/>
      <c r="FE616"/>
      <c r="FF616"/>
      <c r="FG616"/>
      <c r="FH616"/>
      <c r="FI616"/>
      <c r="FJ616"/>
      <c r="FK616"/>
      <c r="FL616"/>
      <c r="FM616"/>
      <c r="FN616"/>
      <c r="FO616"/>
      <c r="FP616"/>
      <c r="FQ616"/>
      <c r="FR616"/>
      <c r="FS616"/>
      <c r="FT616"/>
      <c r="FU616"/>
      <c r="FV616"/>
      <c r="FW616"/>
      <c r="FX616"/>
      <c r="FY616"/>
      <c r="FZ616"/>
      <c r="GA616"/>
      <c r="GB616"/>
      <c r="GC616"/>
      <c r="GD616"/>
      <c r="GE616"/>
      <c r="GF616"/>
      <c r="GG616"/>
      <c r="GH616"/>
      <c r="GI616"/>
      <c r="GJ616"/>
      <c r="GK616"/>
      <c r="GL616"/>
      <c r="GM616"/>
      <c r="GN616"/>
      <c r="GO616"/>
      <c r="GP616"/>
      <c r="GQ616"/>
      <c r="GR616"/>
      <c r="GS616"/>
      <c r="GT616"/>
      <c r="GU616"/>
      <c r="GV616"/>
      <c r="GW616"/>
      <c r="GX616"/>
      <c r="GY616"/>
      <c r="GZ616"/>
      <c r="HA616"/>
      <c r="HB616"/>
      <c r="HC616"/>
      <c r="HD616"/>
      <c r="HE616"/>
      <c r="HF616"/>
      <c r="HG616"/>
      <c r="HH616"/>
      <c r="HI616"/>
      <c r="HJ616"/>
      <c r="HK616"/>
      <c r="HL616"/>
      <c r="HM616"/>
      <c r="HN616"/>
      <c r="HO616"/>
      <c r="HP616"/>
      <c r="HQ616"/>
      <c r="HR616"/>
      <c r="HS616"/>
      <c r="HT616"/>
      <c r="HU616"/>
      <c r="HV616"/>
      <c r="HW616"/>
      <c r="HX616"/>
      <c r="HY616"/>
      <c r="HZ616"/>
      <c r="IA616"/>
      <c r="IB616"/>
      <c r="IC616"/>
      <c r="ID616"/>
      <c r="IE616"/>
      <c r="IF616"/>
      <c r="IG616"/>
      <c r="IH616"/>
      <c r="II616"/>
      <c r="IJ616"/>
      <c r="IK616"/>
      <c r="IL616"/>
      <c r="IM616"/>
      <c r="IN616"/>
      <c r="IO616"/>
      <c r="IP616"/>
      <c r="IQ616"/>
      <c r="IR616"/>
      <c r="IS616"/>
      <c r="IT616"/>
      <c r="IU616"/>
      <c r="IV616"/>
      <c r="IW616"/>
      <c r="IX616"/>
      <c r="IY616"/>
      <c r="IZ616"/>
      <c r="JA616"/>
      <c r="JB616"/>
      <c r="JC616"/>
      <c r="JD616"/>
      <c r="JE616"/>
      <c r="JF616"/>
      <c r="JG616"/>
      <c r="JH616"/>
      <c r="JI616"/>
      <c r="JJ616"/>
      <c r="JK616"/>
      <c r="JL616"/>
      <c r="JM616"/>
      <c r="JN616"/>
      <c r="JO616"/>
      <c r="JP616"/>
      <c r="JQ616"/>
      <c r="JR616"/>
      <c r="JS616"/>
      <c r="JT616"/>
      <c r="JU616"/>
      <c r="JV616"/>
      <c r="JW616"/>
      <c r="JX616"/>
      <c r="JY616"/>
      <c r="JZ616"/>
      <c r="KA616"/>
      <c r="KB616"/>
      <c r="KC616"/>
      <c r="KD616"/>
      <c r="KE616"/>
      <c r="KF616"/>
      <c r="KG616"/>
      <c r="KH616"/>
      <c r="KI616"/>
      <c r="KJ616"/>
      <c r="KK616"/>
      <c r="KL616"/>
      <c r="KM616"/>
      <c r="KN616"/>
      <c r="KO616"/>
      <c r="KP616"/>
      <c r="KQ616"/>
      <c r="KR616"/>
      <c r="KS616"/>
    </row>
    <row r="617" spans="2:305" hidden="1" x14ac:dyDescent="0.25">
      <c r="B617"/>
      <c r="C617"/>
      <c r="D617"/>
      <c r="E617"/>
      <c r="F617"/>
      <c r="G617"/>
      <c r="H617"/>
      <c r="I617"/>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M617"/>
      <c r="CN617"/>
      <c r="CO617"/>
      <c r="CP617"/>
      <c r="CQ617"/>
      <c r="CR617"/>
      <c r="CS617"/>
      <c r="CT617"/>
      <c r="CU617"/>
      <c r="CV617"/>
      <c r="CW617"/>
      <c r="CX617"/>
      <c r="CY617"/>
      <c r="CZ617"/>
      <c r="DA617"/>
      <c r="DB617"/>
      <c r="DC617"/>
      <c r="DD617"/>
      <c r="DE617"/>
      <c r="DF617"/>
      <c r="DG617"/>
      <c r="DH617"/>
      <c r="DI617"/>
      <c r="DJ617"/>
      <c r="DK617"/>
      <c r="DL617"/>
      <c r="DM617"/>
      <c r="DN617"/>
      <c r="DO617"/>
      <c r="DP617"/>
      <c r="DQ617"/>
      <c r="DR617"/>
      <c r="DS617"/>
      <c r="DT617"/>
      <c r="DU617"/>
      <c r="DV617"/>
      <c r="DW617"/>
      <c r="DX617"/>
      <c r="DY617"/>
      <c r="DZ617"/>
      <c r="EA617"/>
      <c r="EB617"/>
      <c r="EC617"/>
      <c r="ED617"/>
      <c r="EE617"/>
      <c r="EF617"/>
      <c r="EG617"/>
      <c r="EH617"/>
      <c r="EI617"/>
      <c r="EJ617"/>
      <c r="EK617"/>
      <c r="EL617"/>
      <c r="EM617"/>
      <c r="EN617"/>
      <c r="EO617"/>
      <c r="EP617"/>
      <c r="EQ617"/>
      <c r="ER617"/>
      <c r="ES617"/>
      <c r="ET617"/>
      <c r="EU617"/>
      <c r="EV617"/>
      <c r="EW617"/>
      <c r="EX617"/>
      <c r="EY617"/>
      <c r="EZ617"/>
      <c r="FA617"/>
      <c r="FB617"/>
      <c r="FC617"/>
      <c r="FD617"/>
      <c r="FE617"/>
      <c r="FF617"/>
      <c r="FG617"/>
      <c r="FH617"/>
      <c r="FI617"/>
      <c r="FJ617"/>
      <c r="FK617"/>
      <c r="FL617"/>
      <c r="FM617"/>
      <c r="FN617"/>
      <c r="FO617"/>
      <c r="FP617"/>
      <c r="FQ617"/>
      <c r="FR617"/>
      <c r="FS617"/>
      <c r="FT617"/>
      <c r="FU617"/>
      <c r="FV617"/>
      <c r="FW617"/>
      <c r="FX617"/>
      <c r="FY617"/>
      <c r="FZ617"/>
      <c r="GA617"/>
      <c r="GB617"/>
      <c r="GC617"/>
      <c r="GD617"/>
      <c r="GE617"/>
      <c r="GF617"/>
      <c r="GG617"/>
      <c r="GH617"/>
      <c r="GI617"/>
      <c r="GJ617"/>
      <c r="GK617"/>
      <c r="GL617"/>
      <c r="GM617"/>
      <c r="GN617"/>
      <c r="GO617"/>
      <c r="GP617"/>
      <c r="GQ617"/>
      <c r="GR617"/>
      <c r="GS617"/>
      <c r="GT617"/>
      <c r="GU617"/>
      <c r="GV617"/>
      <c r="GW617"/>
      <c r="GX617"/>
      <c r="GY617"/>
      <c r="GZ617"/>
      <c r="HA617"/>
      <c r="HB617"/>
      <c r="HC617"/>
      <c r="HD617"/>
      <c r="HE617"/>
      <c r="HF617"/>
      <c r="HG617"/>
      <c r="HH617"/>
      <c r="HI617"/>
      <c r="HJ617"/>
      <c r="HK617"/>
      <c r="HL617"/>
      <c r="HM617"/>
      <c r="HN617"/>
      <c r="HO617"/>
      <c r="HP617"/>
      <c r="HQ617"/>
      <c r="HR617"/>
      <c r="HS617"/>
      <c r="HT617"/>
      <c r="HU617"/>
      <c r="HV617"/>
      <c r="HW617"/>
      <c r="HX617"/>
      <c r="HY617"/>
      <c r="HZ617"/>
      <c r="IA617"/>
      <c r="IB617"/>
      <c r="IC617"/>
      <c r="ID617"/>
      <c r="IE617"/>
      <c r="IF617"/>
      <c r="IG617"/>
      <c r="IH617"/>
      <c r="II617"/>
      <c r="IJ617"/>
      <c r="IK617"/>
      <c r="IL617"/>
      <c r="IM617"/>
      <c r="IN617"/>
      <c r="IO617"/>
      <c r="IP617"/>
      <c r="IQ617"/>
      <c r="IR617"/>
      <c r="IS617"/>
      <c r="IT617"/>
      <c r="IU617"/>
      <c r="IV617"/>
      <c r="IW617"/>
      <c r="IX617"/>
      <c r="IY617"/>
      <c r="IZ617"/>
      <c r="JA617"/>
      <c r="JB617"/>
      <c r="JC617"/>
      <c r="JD617"/>
      <c r="JE617"/>
      <c r="JF617"/>
      <c r="JG617"/>
      <c r="JH617"/>
      <c r="JI617"/>
      <c r="JJ617"/>
      <c r="JK617"/>
      <c r="JL617"/>
      <c r="JM617"/>
      <c r="JN617"/>
      <c r="JO617"/>
      <c r="JP617"/>
      <c r="JQ617"/>
      <c r="JR617"/>
      <c r="JS617"/>
      <c r="JT617"/>
      <c r="JU617"/>
      <c r="JV617"/>
      <c r="JW617"/>
      <c r="JX617"/>
      <c r="JY617"/>
      <c r="JZ617"/>
      <c r="KA617"/>
      <c r="KB617"/>
      <c r="KC617"/>
      <c r="KD617"/>
      <c r="KE617"/>
      <c r="KF617"/>
      <c r="KG617"/>
      <c r="KH617"/>
      <c r="KI617"/>
      <c r="KJ617"/>
      <c r="KK617"/>
      <c r="KL617"/>
      <c r="KM617"/>
      <c r="KN617"/>
      <c r="KO617"/>
      <c r="KP617"/>
      <c r="KQ617"/>
      <c r="KR617"/>
      <c r="KS617"/>
    </row>
    <row r="618" spans="2:305" hidden="1" x14ac:dyDescent="0.25">
      <c r="B618"/>
      <c r="C618"/>
      <c r="D618"/>
      <c r="E618"/>
      <c r="F618"/>
      <c r="G618"/>
      <c r="H618"/>
      <c r="I618"/>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M618"/>
      <c r="CN618"/>
      <c r="CO618"/>
      <c r="CP618"/>
      <c r="CQ618"/>
      <c r="CR618"/>
      <c r="CS618"/>
      <c r="CT618"/>
      <c r="CU618"/>
      <c r="CV618"/>
      <c r="CW618"/>
      <c r="CX618"/>
      <c r="CY618"/>
      <c r="CZ618"/>
      <c r="DA618"/>
      <c r="DB618"/>
      <c r="DC618"/>
      <c r="DD618"/>
      <c r="DE618"/>
      <c r="DF618"/>
      <c r="DG618"/>
      <c r="DH618"/>
      <c r="DI618"/>
      <c r="DJ618"/>
      <c r="DK618"/>
      <c r="DL618"/>
      <c r="DM618"/>
      <c r="DN618"/>
      <c r="DO618"/>
      <c r="DP618"/>
      <c r="DQ618"/>
      <c r="DR618"/>
      <c r="DS618"/>
      <c r="DT618"/>
      <c r="DU618"/>
      <c r="DV618"/>
      <c r="DW618"/>
      <c r="DX618"/>
      <c r="DY618"/>
      <c r="DZ618"/>
      <c r="EA618"/>
      <c r="EB618"/>
      <c r="EC618"/>
      <c r="ED618"/>
      <c r="EE618"/>
      <c r="EF618"/>
      <c r="EG618"/>
      <c r="EH618"/>
      <c r="EI618"/>
      <c r="EJ618"/>
      <c r="EK618"/>
      <c r="EL618"/>
      <c r="EM618"/>
      <c r="EN618"/>
      <c r="EO618"/>
      <c r="EP618"/>
      <c r="EQ618"/>
      <c r="ER618"/>
      <c r="ES618"/>
      <c r="ET618"/>
      <c r="EU618"/>
      <c r="EV618"/>
      <c r="EW618"/>
      <c r="EX618"/>
      <c r="EY618"/>
      <c r="EZ618"/>
      <c r="FA618"/>
      <c r="FB618"/>
      <c r="FC618"/>
      <c r="FD618"/>
      <c r="FE618"/>
      <c r="FF618"/>
      <c r="FG618"/>
      <c r="FH618"/>
      <c r="FI618"/>
      <c r="FJ618"/>
      <c r="FK618"/>
      <c r="FL618"/>
      <c r="FM618"/>
      <c r="FN618"/>
      <c r="FO618"/>
      <c r="FP618"/>
      <c r="FQ618"/>
      <c r="FR618"/>
      <c r="FS618"/>
      <c r="FT618"/>
      <c r="FU618"/>
      <c r="FV618"/>
      <c r="FW618"/>
      <c r="FX618"/>
      <c r="FY618"/>
      <c r="FZ618"/>
      <c r="GA618"/>
      <c r="GB618"/>
      <c r="GC618"/>
      <c r="GD618"/>
      <c r="GE618"/>
      <c r="GF618"/>
      <c r="GG618"/>
      <c r="GH618"/>
      <c r="GI618"/>
      <c r="GJ618"/>
      <c r="GK618"/>
      <c r="GL618"/>
      <c r="GM618"/>
      <c r="GN618"/>
      <c r="GO618"/>
      <c r="GP618"/>
      <c r="GQ618"/>
      <c r="GR618"/>
      <c r="GS618"/>
      <c r="GT618"/>
      <c r="GU618"/>
      <c r="GV618"/>
      <c r="GW618"/>
      <c r="GX618"/>
      <c r="GY618"/>
      <c r="GZ618"/>
      <c r="HA618"/>
      <c r="HB618"/>
      <c r="HC618"/>
      <c r="HD618"/>
      <c r="HE618"/>
      <c r="HF618"/>
      <c r="HG618"/>
      <c r="HH618"/>
      <c r="HI618"/>
      <c r="HJ618"/>
      <c r="HK618"/>
      <c r="HL618"/>
      <c r="HM618"/>
      <c r="HN618"/>
      <c r="HO618"/>
      <c r="HP618"/>
      <c r="HQ618"/>
      <c r="HR618"/>
      <c r="HS618"/>
      <c r="HT618"/>
      <c r="HU618"/>
      <c r="HV618"/>
      <c r="HW618"/>
      <c r="HX618"/>
      <c r="HY618"/>
      <c r="HZ618"/>
      <c r="IA618"/>
      <c r="IB618"/>
      <c r="IC618"/>
      <c r="ID618"/>
      <c r="IE618"/>
      <c r="IF618"/>
      <c r="IG618"/>
      <c r="IH618"/>
      <c r="II618"/>
      <c r="IJ618"/>
      <c r="IK618"/>
      <c r="IL618"/>
      <c r="IM618"/>
      <c r="IN618"/>
      <c r="IO618"/>
      <c r="IP618"/>
      <c r="IQ618"/>
      <c r="IR618"/>
      <c r="IS618"/>
      <c r="IT618"/>
      <c r="IU618"/>
      <c r="IV618"/>
      <c r="IW618"/>
      <c r="IX618"/>
      <c r="IY618"/>
      <c r="IZ618"/>
      <c r="JA618"/>
      <c r="JB618"/>
      <c r="JC618"/>
      <c r="JD618"/>
      <c r="JE618"/>
      <c r="JF618"/>
      <c r="JG618"/>
      <c r="JH618"/>
      <c r="JI618"/>
      <c r="JJ618"/>
      <c r="JK618"/>
      <c r="JL618"/>
      <c r="JM618"/>
      <c r="JN618"/>
      <c r="JO618"/>
      <c r="JP618"/>
      <c r="JQ618"/>
      <c r="JR618"/>
      <c r="JS618"/>
      <c r="JT618"/>
      <c r="JU618"/>
      <c r="JV618"/>
      <c r="JW618"/>
      <c r="JX618"/>
      <c r="JY618"/>
      <c r="JZ618"/>
      <c r="KA618"/>
      <c r="KB618"/>
      <c r="KC618"/>
      <c r="KD618"/>
      <c r="KE618"/>
      <c r="KF618"/>
      <c r="KG618"/>
      <c r="KH618"/>
      <c r="KI618"/>
      <c r="KJ618"/>
      <c r="KK618"/>
      <c r="KL618"/>
      <c r="KM618"/>
      <c r="KN618"/>
      <c r="KO618"/>
      <c r="KP618"/>
      <c r="KQ618"/>
      <c r="KR618"/>
      <c r="KS618"/>
    </row>
    <row r="619" spans="2:305" hidden="1" x14ac:dyDescent="0.25">
      <c r="B619"/>
      <c r="C619"/>
      <c r="D619"/>
      <c r="E619"/>
      <c r="F619"/>
      <c r="G619"/>
      <c r="H619"/>
      <c r="I619"/>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M619"/>
      <c r="CN619"/>
      <c r="CO619"/>
      <c r="CP619"/>
      <c r="CQ619"/>
      <c r="CR619"/>
      <c r="CS619"/>
      <c r="CT619"/>
      <c r="CU619"/>
      <c r="CV619"/>
      <c r="CW619"/>
      <c r="CX619"/>
      <c r="CY619"/>
      <c r="CZ619"/>
      <c r="DA619"/>
      <c r="DB619"/>
      <c r="DC619"/>
      <c r="DD619"/>
      <c r="DE619"/>
      <c r="DF619"/>
      <c r="DG619"/>
      <c r="DH619"/>
      <c r="DI619"/>
      <c r="DJ619"/>
      <c r="DK619"/>
      <c r="DL619"/>
      <c r="DM619"/>
      <c r="DN619"/>
      <c r="DO619"/>
      <c r="DP619"/>
      <c r="DQ619"/>
      <c r="DR619"/>
      <c r="DS619"/>
      <c r="DT619"/>
      <c r="DU619"/>
      <c r="DV619"/>
      <c r="DW619"/>
      <c r="DX619"/>
      <c r="DY619"/>
      <c r="DZ619"/>
      <c r="EA619"/>
      <c r="EB619"/>
      <c r="EC619"/>
      <c r="ED619"/>
      <c r="EE619"/>
      <c r="EF619"/>
      <c r="EG619"/>
      <c r="EH619"/>
      <c r="EI619"/>
      <c r="EJ619"/>
      <c r="EK619"/>
      <c r="EL619"/>
      <c r="EM619"/>
      <c r="EN619"/>
      <c r="EO619"/>
      <c r="EP619"/>
      <c r="EQ619"/>
      <c r="ER619"/>
      <c r="ES619"/>
      <c r="ET619"/>
      <c r="EU619"/>
      <c r="EV619"/>
      <c r="EW619"/>
      <c r="EX619"/>
      <c r="EY619"/>
      <c r="EZ619"/>
      <c r="FA619"/>
      <c r="FB619"/>
      <c r="FC619"/>
      <c r="FD619"/>
      <c r="FE619"/>
      <c r="FF619"/>
      <c r="FG619"/>
      <c r="FH619"/>
      <c r="FI619"/>
      <c r="FJ619"/>
      <c r="FK619"/>
      <c r="FL619"/>
      <c r="FM619"/>
      <c r="FN619"/>
      <c r="FO619"/>
      <c r="FP619"/>
      <c r="FQ619"/>
      <c r="FR619"/>
      <c r="FS619"/>
      <c r="FT619"/>
      <c r="FU619"/>
      <c r="FV619"/>
      <c r="FW619"/>
      <c r="FX619"/>
      <c r="FY619"/>
      <c r="FZ619"/>
      <c r="GA619"/>
      <c r="GB619"/>
      <c r="GC619"/>
      <c r="GD619"/>
      <c r="GE619"/>
      <c r="GF619"/>
      <c r="GG619"/>
      <c r="GH619"/>
      <c r="GI619"/>
      <c r="GJ619"/>
      <c r="GK619"/>
      <c r="GL619"/>
      <c r="GM619"/>
      <c r="GN619"/>
      <c r="GO619"/>
      <c r="GP619"/>
      <c r="GQ619"/>
      <c r="GR619"/>
      <c r="GS619"/>
      <c r="GT619"/>
      <c r="GU619"/>
      <c r="GV619"/>
      <c r="GW619"/>
      <c r="GX619"/>
      <c r="GY619"/>
      <c r="GZ619"/>
      <c r="HA619"/>
      <c r="HB619"/>
      <c r="HC619"/>
      <c r="HD619"/>
      <c r="HE619"/>
      <c r="HF619"/>
      <c r="HG619"/>
      <c r="HH619"/>
      <c r="HI619"/>
      <c r="HJ619"/>
      <c r="HK619"/>
      <c r="HL619"/>
      <c r="HM619"/>
      <c r="HN619"/>
      <c r="HO619"/>
      <c r="HP619"/>
      <c r="HQ619"/>
      <c r="HR619"/>
      <c r="HS619"/>
      <c r="HT619"/>
      <c r="HU619"/>
      <c r="HV619"/>
      <c r="HW619"/>
      <c r="HX619"/>
      <c r="HY619"/>
      <c r="HZ619"/>
      <c r="IA619"/>
      <c r="IB619"/>
      <c r="IC619"/>
      <c r="ID619"/>
      <c r="IE619"/>
      <c r="IF619"/>
      <c r="IG619"/>
      <c r="IH619"/>
      <c r="II619"/>
      <c r="IJ619"/>
      <c r="IK619"/>
      <c r="IL619"/>
      <c r="IM619"/>
      <c r="IN619"/>
      <c r="IO619"/>
      <c r="IP619"/>
      <c r="IQ619"/>
      <c r="IR619"/>
      <c r="IS619"/>
      <c r="IT619"/>
      <c r="IU619"/>
      <c r="IV619"/>
      <c r="IW619"/>
      <c r="IX619"/>
      <c r="IY619"/>
      <c r="IZ619"/>
      <c r="JA619"/>
      <c r="JB619"/>
      <c r="JC619"/>
      <c r="JD619"/>
      <c r="JE619"/>
      <c r="JF619"/>
      <c r="JG619"/>
      <c r="JH619"/>
      <c r="JI619"/>
      <c r="JJ619"/>
      <c r="JK619"/>
      <c r="JL619"/>
      <c r="JM619"/>
      <c r="JN619"/>
      <c r="JO619"/>
      <c r="JP619"/>
      <c r="JQ619"/>
      <c r="JR619"/>
      <c r="JS619"/>
      <c r="JT619"/>
      <c r="JU619"/>
      <c r="JV619"/>
      <c r="JW619"/>
      <c r="JX619"/>
      <c r="JY619"/>
      <c r="JZ619"/>
      <c r="KA619"/>
      <c r="KB619"/>
      <c r="KC619"/>
      <c r="KD619"/>
      <c r="KE619"/>
      <c r="KF619"/>
      <c r="KG619"/>
      <c r="KH619"/>
      <c r="KI619"/>
      <c r="KJ619"/>
      <c r="KK619"/>
      <c r="KL619"/>
      <c r="KM619"/>
      <c r="KN619"/>
      <c r="KO619"/>
      <c r="KP619"/>
      <c r="KQ619"/>
      <c r="KR619"/>
      <c r="KS619"/>
    </row>
    <row r="620" spans="2:305" hidden="1" x14ac:dyDescent="0.25">
      <c r="B620"/>
      <c r="C620"/>
      <c r="D620"/>
      <c r="E620"/>
      <c r="F620"/>
      <c r="G620"/>
      <c r="H620"/>
      <c r="I620"/>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M620"/>
      <c r="CN620"/>
      <c r="CO620"/>
      <c r="CP620"/>
      <c r="CQ620"/>
      <c r="CR620"/>
      <c r="CS620"/>
      <c r="CT620"/>
      <c r="CU620"/>
      <c r="CV620"/>
      <c r="CW620"/>
      <c r="CX620"/>
      <c r="CY620"/>
      <c r="CZ620"/>
      <c r="DA620"/>
      <c r="DB620"/>
      <c r="DC620"/>
      <c r="DD620"/>
      <c r="DE620"/>
      <c r="DF620"/>
      <c r="DG620"/>
      <c r="DH620"/>
      <c r="DI620"/>
      <c r="DJ620"/>
      <c r="DK620"/>
      <c r="DL620"/>
      <c r="DM620"/>
      <c r="DN620"/>
      <c r="DO620"/>
      <c r="DP620"/>
      <c r="DQ620"/>
      <c r="DR620"/>
      <c r="DS620"/>
      <c r="DT620"/>
      <c r="DU620"/>
      <c r="DV620"/>
      <c r="DW620"/>
      <c r="DX620"/>
      <c r="DY620"/>
      <c r="DZ620"/>
      <c r="EA620"/>
      <c r="EB620"/>
      <c r="EC620"/>
      <c r="ED620"/>
      <c r="EE620"/>
      <c r="EF620"/>
      <c r="EG620"/>
      <c r="EH620"/>
      <c r="EI620"/>
      <c r="EJ620"/>
      <c r="EK620"/>
      <c r="EL620"/>
      <c r="EM620"/>
      <c r="EN620"/>
      <c r="EO620"/>
      <c r="EP620"/>
      <c r="EQ620"/>
      <c r="ER620"/>
      <c r="ES620"/>
      <c r="ET620"/>
      <c r="EU620"/>
      <c r="EV620"/>
      <c r="EW620"/>
      <c r="EX620"/>
      <c r="EY620"/>
      <c r="EZ620"/>
      <c r="FA620"/>
      <c r="FB620"/>
      <c r="FC620"/>
      <c r="FD620"/>
      <c r="FE620"/>
      <c r="FF620"/>
      <c r="FG620"/>
      <c r="FH620"/>
      <c r="FI620"/>
      <c r="FJ620"/>
      <c r="FK620"/>
      <c r="FL620"/>
      <c r="FM620"/>
      <c r="FN620"/>
      <c r="FO620"/>
      <c r="FP620"/>
      <c r="FQ620"/>
      <c r="FR620"/>
      <c r="FS620"/>
      <c r="FT620"/>
      <c r="FU620"/>
      <c r="FV620"/>
      <c r="FW620"/>
      <c r="FX620"/>
      <c r="FY620"/>
      <c r="FZ620"/>
      <c r="GA620"/>
      <c r="GB620"/>
      <c r="GC620"/>
      <c r="GD620"/>
      <c r="GE620"/>
      <c r="GF620"/>
      <c r="GG620"/>
      <c r="GH620"/>
      <c r="GI620"/>
      <c r="GJ620"/>
      <c r="GK620"/>
      <c r="GL620"/>
      <c r="GM620"/>
      <c r="GN620"/>
      <c r="GO620"/>
      <c r="GP620"/>
      <c r="GQ620"/>
      <c r="GR620"/>
      <c r="GS620"/>
      <c r="GT620"/>
      <c r="GU620"/>
      <c r="GV620"/>
      <c r="GW620"/>
      <c r="GX620"/>
      <c r="GY620"/>
      <c r="GZ620"/>
      <c r="HA620"/>
      <c r="HB620"/>
      <c r="HC620"/>
      <c r="HD620"/>
      <c r="HE620"/>
      <c r="HF620"/>
      <c r="HG620"/>
      <c r="HH620"/>
      <c r="HI620"/>
      <c r="HJ620"/>
      <c r="HK620"/>
      <c r="HL620"/>
      <c r="HM620"/>
      <c r="HN620"/>
      <c r="HO620"/>
      <c r="HP620"/>
      <c r="HQ620"/>
      <c r="HR620"/>
      <c r="HS620"/>
      <c r="HT620"/>
      <c r="HU620"/>
      <c r="HV620"/>
      <c r="HW620"/>
      <c r="HX620"/>
      <c r="HY620"/>
      <c r="HZ620"/>
      <c r="IA620"/>
      <c r="IB620"/>
      <c r="IC620"/>
      <c r="ID620"/>
      <c r="IE620"/>
      <c r="IF620"/>
      <c r="IG620"/>
      <c r="IH620"/>
      <c r="II620"/>
      <c r="IJ620"/>
      <c r="IK620"/>
      <c r="IL620"/>
      <c r="IM620"/>
      <c r="IN620"/>
      <c r="IO620"/>
      <c r="IP620"/>
      <c r="IQ620"/>
      <c r="IR620"/>
      <c r="IS620"/>
      <c r="IT620"/>
      <c r="IU620"/>
      <c r="IV620"/>
      <c r="IW620"/>
      <c r="IX620"/>
      <c r="IY620"/>
      <c r="IZ620"/>
      <c r="JA620"/>
      <c r="JB620"/>
      <c r="JC620"/>
      <c r="JD620"/>
      <c r="JE620"/>
      <c r="JF620"/>
      <c r="JG620"/>
      <c r="JH620"/>
      <c r="JI620"/>
      <c r="JJ620"/>
      <c r="JK620"/>
      <c r="JL620"/>
      <c r="JM620"/>
      <c r="JN620"/>
      <c r="JO620"/>
      <c r="JP620"/>
      <c r="JQ620"/>
      <c r="JR620"/>
      <c r="JS620"/>
      <c r="JT620"/>
      <c r="JU620"/>
      <c r="JV620"/>
      <c r="JW620"/>
      <c r="JX620"/>
      <c r="JY620"/>
      <c r="JZ620"/>
      <c r="KA620"/>
      <c r="KB620"/>
      <c r="KC620"/>
      <c r="KD620"/>
      <c r="KE620"/>
      <c r="KF620"/>
      <c r="KG620"/>
      <c r="KH620"/>
      <c r="KI620"/>
      <c r="KJ620"/>
      <c r="KK620"/>
      <c r="KL620"/>
      <c r="KM620"/>
      <c r="KN620"/>
      <c r="KO620"/>
      <c r="KP620"/>
      <c r="KQ620"/>
      <c r="KR620"/>
      <c r="KS620"/>
    </row>
    <row r="621" spans="2:305" hidden="1" x14ac:dyDescent="0.25">
      <c r="B621"/>
      <c r="C621"/>
      <c r="D621"/>
      <c r="E621"/>
      <c r="F621"/>
      <c r="G621"/>
      <c r="H621"/>
      <c r="I621"/>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M621"/>
      <c r="CN621"/>
      <c r="CO621"/>
      <c r="CP621"/>
      <c r="CQ621"/>
      <c r="CR621"/>
      <c r="CS621"/>
      <c r="CT621"/>
      <c r="CU621"/>
      <c r="CV621"/>
      <c r="CW621"/>
      <c r="CX621"/>
      <c r="CY621"/>
      <c r="CZ621"/>
      <c r="DA621"/>
      <c r="DB621"/>
      <c r="DC621"/>
      <c r="DD621"/>
      <c r="DE621"/>
      <c r="DF621"/>
      <c r="DG621"/>
      <c r="DH621"/>
      <c r="DI621"/>
      <c r="DJ621"/>
      <c r="DK621"/>
      <c r="DL621"/>
      <c r="DM621"/>
      <c r="DN621"/>
      <c r="DO621"/>
      <c r="DP621"/>
      <c r="DQ621"/>
      <c r="DR621"/>
      <c r="DS621"/>
      <c r="DT621"/>
      <c r="DU621"/>
      <c r="DV621"/>
      <c r="DW621"/>
      <c r="DX621"/>
      <c r="DY621"/>
      <c r="DZ621"/>
      <c r="EA621"/>
      <c r="EB621"/>
      <c r="EC621"/>
      <c r="ED621"/>
      <c r="EE621"/>
      <c r="EF621"/>
      <c r="EG621"/>
      <c r="EH621"/>
      <c r="EI621"/>
      <c r="EJ621"/>
      <c r="EK621"/>
      <c r="EL621"/>
      <c r="EM621"/>
      <c r="EN621"/>
      <c r="EO621"/>
      <c r="EP621"/>
      <c r="EQ621"/>
      <c r="ER621"/>
      <c r="ES621"/>
      <c r="ET621"/>
      <c r="EU621"/>
      <c r="EV621"/>
      <c r="EW621"/>
      <c r="EX621"/>
      <c r="EY621"/>
      <c r="EZ621"/>
      <c r="FA621"/>
      <c r="FB621"/>
      <c r="FC621"/>
      <c r="FD621"/>
      <c r="FE621"/>
      <c r="FF621"/>
      <c r="FG621"/>
      <c r="FH621"/>
      <c r="FI621"/>
      <c r="FJ621"/>
      <c r="FK621"/>
      <c r="FL621"/>
      <c r="FM621"/>
      <c r="FN621"/>
      <c r="FO621"/>
      <c r="FP621"/>
      <c r="FQ621"/>
      <c r="FR621"/>
      <c r="FS621"/>
      <c r="FT621"/>
      <c r="FU621"/>
      <c r="FV621"/>
      <c r="FW621"/>
      <c r="FX621"/>
      <c r="FY621"/>
      <c r="FZ621"/>
      <c r="GA621"/>
      <c r="GB621"/>
      <c r="GC621"/>
      <c r="GD621"/>
      <c r="GE621"/>
      <c r="GF621"/>
      <c r="GG621"/>
      <c r="GH621"/>
      <c r="GI621"/>
      <c r="GJ621"/>
      <c r="GK621"/>
      <c r="GL621"/>
      <c r="GM621"/>
      <c r="GN621"/>
      <c r="GO621"/>
      <c r="GP621"/>
      <c r="GQ621"/>
      <c r="GR621"/>
      <c r="GS621"/>
      <c r="GT621"/>
      <c r="GU621"/>
      <c r="GV621"/>
      <c r="GW621"/>
      <c r="GX621"/>
      <c r="GY621"/>
      <c r="GZ621"/>
      <c r="HA621"/>
      <c r="HB621"/>
      <c r="HC621"/>
      <c r="HD621"/>
      <c r="HE621"/>
      <c r="HF621"/>
      <c r="HG621"/>
      <c r="HH621"/>
      <c r="HI621"/>
      <c r="HJ621"/>
      <c r="HK621"/>
      <c r="HL621"/>
      <c r="HM621"/>
      <c r="HN621"/>
      <c r="HO621"/>
      <c r="HP621"/>
      <c r="HQ621"/>
      <c r="HR621"/>
      <c r="HS621"/>
      <c r="HT621"/>
      <c r="HU621"/>
      <c r="HV621"/>
      <c r="HW621"/>
      <c r="HX621"/>
      <c r="HY621"/>
      <c r="HZ621"/>
      <c r="IA621"/>
      <c r="IB621"/>
      <c r="IC621"/>
      <c r="ID621"/>
      <c r="IE621"/>
      <c r="IF621"/>
      <c r="IG621"/>
      <c r="IH621"/>
      <c r="II621"/>
      <c r="IJ621"/>
      <c r="IK621"/>
      <c r="IL621"/>
      <c r="IM621"/>
      <c r="IN621"/>
      <c r="IO621"/>
      <c r="IP621"/>
      <c r="IQ621"/>
      <c r="IR621"/>
      <c r="IS621"/>
      <c r="IT621"/>
      <c r="IU621"/>
      <c r="IV621"/>
      <c r="IW621"/>
      <c r="IX621"/>
      <c r="IY621"/>
      <c r="IZ621"/>
      <c r="JA621"/>
      <c r="JB621"/>
      <c r="JC621"/>
      <c r="JD621"/>
      <c r="JE621"/>
      <c r="JF621"/>
      <c r="JG621"/>
      <c r="JH621"/>
      <c r="JI621"/>
      <c r="JJ621"/>
      <c r="JK621"/>
      <c r="JL621"/>
      <c r="JM621"/>
      <c r="JN621"/>
      <c r="JO621"/>
      <c r="JP621"/>
      <c r="JQ621"/>
      <c r="JR621"/>
      <c r="JS621"/>
      <c r="JT621"/>
      <c r="JU621"/>
      <c r="JV621"/>
      <c r="JW621"/>
      <c r="JX621"/>
      <c r="JY621"/>
      <c r="JZ621"/>
      <c r="KA621"/>
      <c r="KB621"/>
      <c r="KC621"/>
      <c r="KD621"/>
      <c r="KE621"/>
      <c r="KF621"/>
      <c r="KG621"/>
      <c r="KH621"/>
      <c r="KI621"/>
      <c r="KJ621"/>
      <c r="KK621"/>
      <c r="KL621"/>
      <c r="KM621"/>
      <c r="KN621"/>
      <c r="KO621"/>
      <c r="KP621"/>
      <c r="KQ621"/>
      <c r="KR621"/>
      <c r="KS621"/>
    </row>
    <row r="622" spans="2:305" hidden="1" x14ac:dyDescent="0.25">
      <c r="B622"/>
      <c r="C622"/>
      <c r="D622"/>
      <c r="E622"/>
      <c r="F622"/>
      <c r="G622"/>
      <c r="H622"/>
      <c r="I622"/>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M622"/>
      <c r="CN622"/>
      <c r="CO622"/>
      <c r="CP622"/>
      <c r="CQ622"/>
      <c r="CR622"/>
      <c r="CS622"/>
      <c r="CT622"/>
      <c r="CU622"/>
      <c r="CV622"/>
      <c r="CW622"/>
      <c r="CX622"/>
      <c r="CY622"/>
      <c r="CZ622"/>
      <c r="DA622"/>
      <c r="DB622"/>
      <c r="DC622"/>
      <c r="DD622"/>
      <c r="DE622"/>
      <c r="DF622"/>
      <c r="DG622"/>
      <c r="DH622"/>
      <c r="DI622"/>
      <c r="DJ622"/>
      <c r="DK622"/>
      <c r="DL622"/>
      <c r="DM622"/>
      <c r="DN622"/>
      <c r="DO622"/>
      <c r="DP622"/>
      <c r="DQ622"/>
      <c r="DR622"/>
      <c r="DS622"/>
      <c r="DT622"/>
      <c r="DU622"/>
      <c r="DV622"/>
      <c r="DW622"/>
      <c r="DX622"/>
      <c r="DY622"/>
      <c r="DZ622"/>
      <c r="EA622"/>
      <c r="EB622"/>
      <c r="EC622"/>
      <c r="ED622"/>
      <c r="EE622"/>
      <c r="EF622"/>
      <c r="EG622"/>
      <c r="EH622"/>
      <c r="EI622"/>
      <c r="EJ622"/>
      <c r="EK622"/>
      <c r="EL622"/>
      <c r="EM622"/>
      <c r="EN622"/>
      <c r="EO622"/>
      <c r="EP622"/>
      <c r="EQ622"/>
      <c r="ER622"/>
      <c r="ES622"/>
      <c r="ET622"/>
      <c r="EU622"/>
      <c r="EV622"/>
      <c r="EW622"/>
      <c r="EX622"/>
      <c r="EY622"/>
      <c r="EZ622"/>
      <c r="FA622"/>
      <c r="FB622"/>
      <c r="FC622"/>
      <c r="FD622"/>
      <c r="FE622"/>
      <c r="FF622"/>
      <c r="FG622"/>
      <c r="FH622"/>
      <c r="FI622"/>
      <c r="FJ622"/>
      <c r="FK622"/>
      <c r="FL622"/>
      <c r="FM622"/>
      <c r="FN622"/>
      <c r="FO622"/>
      <c r="FP622"/>
      <c r="FQ622"/>
      <c r="FR622"/>
      <c r="FS622"/>
      <c r="FT622"/>
      <c r="FU622"/>
      <c r="FV622"/>
      <c r="FW622"/>
      <c r="FX622"/>
      <c r="FY622"/>
      <c r="FZ622"/>
      <c r="GA622"/>
      <c r="GB622"/>
      <c r="GC622"/>
      <c r="GD622"/>
      <c r="GE622"/>
      <c r="GF622"/>
      <c r="GG622"/>
      <c r="GH622"/>
      <c r="GI622"/>
      <c r="GJ622"/>
      <c r="GK622"/>
      <c r="GL622"/>
      <c r="GM622"/>
      <c r="GN622"/>
      <c r="GO622"/>
      <c r="GP622"/>
      <c r="GQ622"/>
      <c r="GR622"/>
      <c r="GS622"/>
      <c r="GT622"/>
      <c r="GU622"/>
      <c r="GV622"/>
      <c r="GW622"/>
      <c r="GX622"/>
      <c r="GY622"/>
      <c r="GZ622"/>
      <c r="HA622"/>
      <c r="HB622"/>
      <c r="HC622"/>
      <c r="HD622"/>
      <c r="HE622"/>
      <c r="HF622"/>
      <c r="HG622"/>
      <c r="HH622"/>
      <c r="HI622"/>
      <c r="HJ622"/>
      <c r="HK622"/>
      <c r="HL622"/>
      <c r="HM622"/>
      <c r="HN622"/>
      <c r="HO622"/>
      <c r="HP622"/>
      <c r="HQ622"/>
      <c r="HR622"/>
      <c r="HS622"/>
      <c r="HT622"/>
      <c r="HU622"/>
      <c r="HV622"/>
      <c r="HW622"/>
      <c r="HX622"/>
      <c r="HY622"/>
      <c r="HZ622"/>
      <c r="IA622"/>
      <c r="IB622"/>
      <c r="IC622"/>
      <c r="ID622"/>
      <c r="IE622"/>
      <c r="IF622"/>
      <c r="IG622"/>
      <c r="IH622"/>
      <c r="II622"/>
      <c r="IJ622"/>
      <c r="IK622"/>
      <c r="IL622"/>
      <c r="IM622"/>
      <c r="IN622"/>
      <c r="IO622"/>
      <c r="IP622"/>
      <c r="IQ622"/>
      <c r="IR622"/>
      <c r="IS622"/>
      <c r="IT622"/>
      <c r="IU622"/>
      <c r="IV622"/>
      <c r="IW622"/>
      <c r="IX622"/>
      <c r="IY622"/>
      <c r="IZ622"/>
      <c r="JA622"/>
      <c r="JB622"/>
      <c r="JC622"/>
      <c r="JD622"/>
      <c r="JE622"/>
      <c r="JF622"/>
      <c r="JG622"/>
      <c r="JH622"/>
      <c r="JI622"/>
      <c r="JJ622"/>
      <c r="JK622"/>
      <c r="JL622"/>
      <c r="JM622"/>
      <c r="JN622"/>
      <c r="JO622"/>
      <c r="JP622"/>
      <c r="JQ622"/>
      <c r="JR622"/>
      <c r="JS622"/>
      <c r="JT622"/>
      <c r="JU622"/>
      <c r="JV622"/>
      <c r="JW622"/>
      <c r="JX622"/>
      <c r="JY622"/>
      <c r="JZ622"/>
      <c r="KA622"/>
      <c r="KB622"/>
      <c r="KC622"/>
      <c r="KD622"/>
      <c r="KE622"/>
      <c r="KF622"/>
      <c r="KG622"/>
      <c r="KH622"/>
      <c r="KI622"/>
      <c r="KJ622"/>
      <c r="KK622"/>
      <c r="KL622"/>
      <c r="KM622"/>
      <c r="KN622"/>
      <c r="KO622"/>
      <c r="KP622"/>
      <c r="KQ622"/>
      <c r="KR622"/>
      <c r="KS622"/>
    </row>
    <row r="623" spans="2:305" hidden="1" x14ac:dyDescent="0.25">
      <c r="B623"/>
      <c r="C623"/>
      <c r="D623"/>
      <c r="E623"/>
      <c r="F623"/>
      <c r="G623"/>
      <c r="H623"/>
      <c r="I623"/>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M623"/>
      <c r="CN623"/>
      <c r="CO623"/>
      <c r="CP623"/>
      <c r="CQ623"/>
      <c r="CR623"/>
      <c r="CS623"/>
      <c r="CT623"/>
      <c r="CU623"/>
      <c r="CV623"/>
      <c r="CW623"/>
      <c r="CX623"/>
      <c r="CY623"/>
      <c r="CZ623"/>
      <c r="DA623"/>
      <c r="DB623"/>
      <c r="DC623"/>
      <c r="DD623"/>
      <c r="DE623"/>
      <c r="DF623"/>
      <c r="DG623"/>
      <c r="DH623"/>
      <c r="DI623"/>
      <c r="DJ623"/>
      <c r="DK623"/>
      <c r="DL623"/>
      <c r="DM623"/>
      <c r="DN623"/>
      <c r="DO623"/>
      <c r="DP623"/>
      <c r="DQ623"/>
      <c r="DR623"/>
      <c r="DS623"/>
      <c r="DT623"/>
      <c r="DU623"/>
      <c r="DV623"/>
      <c r="DW623"/>
      <c r="DX623"/>
      <c r="DY623"/>
      <c r="DZ623"/>
      <c r="EA623"/>
      <c r="EB623"/>
      <c r="EC623"/>
      <c r="ED623"/>
      <c r="EE623"/>
      <c r="EF623"/>
      <c r="EG623"/>
      <c r="EH623"/>
      <c r="EI623"/>
      <c r="EJ623"/>
      <c r="EK623"/>
      <c r="EL623"/>
      <c r="EM623"/>
      <c r="EN623"/>
      <c r="EO623"/>
      <c r="EP623"/>
      <c r="EQ623"/>
      <c r="ER623"/>
      <c r="ES623"/>
      <c r="ET623"/>
      <c r="EU623"/>
      <c r="EV623"/>
      <c r="EW623"/>
      <c r="EX623"/>
      <c r="EY623"/>
      <c r="EZ623"/>
      <c r="FA623"/>
      <c r="FB623"/>
      <c r="FC623"/>
      <c r="FD623"/>
      <c r="FE623"/>
      <c r="FF623"/>
      <c r="FG623"/>
      <c r="FH623"/>
      <c r="FI623"/>
      <c r="FJ623"/>
      <c r="FK623"/>
      <c r="FL623"/>
      <c r="FM623"/>
      <c r="FN623"/>
      <c r="FO623"/>
      <c r="FP623"/>
      <c r="FQ623"/>
      <c r="FR623"/>
      <c r="FS623"/>
      <c r="FT623"/>
      <c r="FU623"/>
      <c r="FV623"/>
      <c r="FW623"/>
      <c r="FX623"/>
      <c r="FY623"/>
      <c r="FZ623"/>
      <c r="GA623"/>
      <c r="GB623"/>
      <c r="GC623"/>
      <c r="GD623"/>
      <c r="GE623"/>
      <c r="GF623"/>
      <c r="GG623"/>
      <c r="GH623"/>
      <c r="GI623"/>
      <c r="GJ623"/>
      <c r="GK623"/>
      <c r="GL623"/>
      <c r="GM623"/>
      <c r="GN623"/>
      <c r="GO623"/>
      <c r="GP623"/>
      <c r="GQ623"/>
      <c r="GR623"/>
      <c r="GS623"/>
      <c r="GT623"/>
      <c r="GU623"/>
      <c r="GV623"/>
      <c r="GW623"/>
      <c r="GX623"/>
      <c r="GY623"/>
      <c r="GZ623"/>
      <c r="HA623"/>
      <c r="HB623"/>
      <c r="HC623"/>
      <c r="HD623"/>
      <c r="HE623"/>
      <c r="HF623"/>
      <c r="HG623"/>
      <c r="HH623"/>
      <c r="HI623"/>
      <c r="HJ623"/>
      <c r="HK623"/>
      <c r="HL623"/>
      <c r="HM623"/>
      <c r="HN623"/>
      <c r="HO623"/>
      <c r="HP623"/>
      <c r="HQ623"/>
      <c r="HR623"/>
      <c r="HS623"/>
      <c r="HT623"/>
      <c r="HU623"/>
      <c r="HV623"/>
      <c r="HW623"/>
      <c r="HX623"/>
      <c r="HY623"/>
      <c r="HZ623"/>
      <c r="IA623"/>
      <c r="IB623"/>
      <c r="IC623"/>
      <c r="ID623"/>
      <c r="IE623"/>
      <c r="IF623"/>
      <c r="IG623"/>
      <c r="IH623"/>
      <c r="II623"/>
      <c r="IJ623"/>
      <c r="IK623"/>
      <c r="IL623"/>
      <c r="IM623"/>
      <c r="IN623"/>
      <c r="IO623"/>
      <c r="IP623"/>
      <c r="IQ623"/>
      <c r="IR623"/>
      <c r="IS623"/>
      <c r="IT623"/>
      <c r="IU623"/>
      <c r="IV623"/>
      <c r="IW623"/>
      <c r="IX623"/>
      <c r="IY623"/>
      <c r="IZ623"/>
      <c r="JA623"/>
      <c r="JB623"/>
      <c r="JC623"/>
      <c r="JD623"/>
      <c r="JE623"/>
      <c r="JF623"/>
      <c r="JG623"/>
      <c r="JH623"/>
      <c r="JI623"/>
      <c r="JJ623"/>
      <c r="JK623"/>
      <c r="JL623"/>
      <c r="JM623"/>
      <c r="JN623"/>
      <c r="JO623"/>
      <c r="JP623"/>
      <c r="JQ623"/>
      <c r="JR623"/>
      <c r="JS623"/>
      <c r="JT623"/>
      <c r="JU623"/>
      <c r="JV623"/>
      <c r="JW623"/>
      <c r="JX623"/>
      <c r="JY623"/>
      <c r="JZ623"/>
      <c r="KA623"/>
      <c r="KB623"/>
      <c r="KC623"/>
      <c r="KD623"/>
      <c r="KE623"/>
      <c r="KF623"/>
      <c r="KG623"/>
      <c r="KH623"/>
      <c r="KI623"/>
      <c r="KJ623"/>
      <c r="KK623"/>
      <c r="KL623"/>
      <c r="KM623"/>
      <c r="KN623"/>
      <c r="KO623"/>
      <c r="KP623"/>
      <c r="KQ623"/>
      <c r="KR623"/>
      <c r="KS623"/>
    </row>
    <row r="624" spans="2:305" hidden="1" x14ac:dyDescent="0.25">
      <c r="B624"/>
      <c r="C624"/>
      <c r="D624"/>
      <c r="E624"/>
      <c r="F624"/>
      <c r="G624"/>
      <c r="H624"/>
      <c r="I624"/>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M624"/>
      <c r="CN624"/>
      <c r="CO624"/>
      <c r="CP624"/>
      <c r="CQ624"/>
      <c r="CR624"/>
      <c r="CS624"/>
      <c r="CT624"/>
      <c r="CU624"/>
      <c r="CV624"/>
      <c r="CW624"/>
      <c r="CX624"/>
      <c r="CY624"/>
      <c r="CZ624"/>
      <c r="DA624"/>
      <c r="DB624"/>
      <c r="DC624"/>
      <c r="DD624"/>
      <c r="DE624"/>
      <c r="DF624"/>
      <c r="DG624"/>
      <c r="DH624"/>
      <c r="DI624"/>
      <c r="DJ624"/>
      <c r="DK624"/>
      <c r="DL624"/>
      <c r="DM624"/>
      <c r="DN624"/>
      <c r="DO624"/>
      <c r="DP624"/>
      <c r="DQ624"/>
      <c r="DR624"/>
      <c r="DS624"/>
      <c r="DT624"/>
      <c r="DU624"/>
      <c r="DV624"/>
      <c r="DW624"/>
      <c r="DX624"/>
      <c r="DY624"/>
      <c r="DZ624"/>
      <c r="EA624"/>
      <c r="EB624"/>
      <c r="EC624"/>
      <c r="ED624"/>
      <c r="EE624"/>
      <c r="EF624"/>
      <c r="EG624"/>
      <c r="EH624"/>
      <c r="EI624"/>
      <c r="EJ624"/>
      <c r="EK624"/>
      <c r="EL624"/>
      <c r="EM624"/>
      <c r="EN624"/>
      <c r="EO624"/>
      <c r="EP624"/>
      <c r="EQ624"/>
      <c r="ER624"/>
      <c r="ES624"/>
      <c r="ET624"/>
      <c r="EU624"/>
      <c r="EV624"/>
      <c r="EW624"/>
      <c r="EX624"/>
      <c r="EY624"/>
      <c r="EZ624"/>
      <c r="FA624"/>
      <c r="FB624"/>
      <c r="FC624"/>
      <c r="FD624"/>
      <c r="FE624"/>
      <c r="FF624"/>
      <c r="FG624"/>
      <c r="FH624"/>
      <c r="FI624"/>
      <c r="FJ624"/>
      <c r="FK624"/>
      <c r="FL624"/>
      <c r="FM624"/>
      <c r="FN624"/>
      <c r="FO624"/>
      <c r="FP624"/>
      <c r="FQ624"/>
      <c r="FR624"/>
      <c r="FS624"/>
      <c r="FT624"/>
      <c r="FU624"/>
      <c r="FV624"/>
      <c r="FW624"/>
      <c r="FX624"/>
      <c r="FY624"/>
      <c r="FZ624"/>
      <c r="GA624"/>
      <c r="GB624"/>
      <c r="GC624"/>
      <c r="GD624"/>
      <c r="GE624"/>
      <c r="GF624"/>
      <c r="GG624"/>
      <c r="GH624"/>
      <c r="GI624"/>
      <c r="GJ624"/>
      <c r="GK624"/>
      <c r="GL624"/>
      <c r="GM624"/>
      <c r="GN624"/>
      <c r="GO624"/>
      <c r="GP624"/>
      <c r="GQ624"/>
      <c r="GR624"/>
      <c r="GS624"/>
      <c r="GT624"/>
      <c r="GU624"/>
      <c r="GV624"/>
      <c r="GW624"/>
      <c r="GX624"/>
      <c r="GY624"/>
      <c r="GZ624"/>
      <c r="HA624"/>
      <c r="HB624"/>
      <c r="HC624"/>
      <c r="HD624"/>
      <c r="HE624"/>
      <c r="HF624"/>
      <c r="HG624"/>
      <c r="HH624"/>
      <c r="HI624"/>
      <c r="HJ624"/>
      <c r="HK624"/>
      <c r="HL624"/>
      <c r="HM624"/>
      <c r="HN624"/>
      <c r="HO624"/>
      <c r="HP624"/>
      <c r="HQ624"/>
      <c r="HR624"/>
      <c r="HS624"/>
      <c r="HT624"/>
      <c r="HU624"/>
      <c r="HV624"/>
      <c r="HW624"/>
      <c r="HX624"/>
      <c r="HY624"/>
      <c r="HZ624"/>
      <c r="IA624"/>
      <c r="IB624"/>
      <c r="IC624"/>
      <c r="ID624"/>
      <c r="IE624"/>
      <c r="IF624"/>
      <c r="IG624"/>
      <c r="IH624"/>
      <c r="II624"/>
      <c r="IJ624"/>
      <c r="IK624"/>
      <c r="IL624"/>
      <c r="IM624"/>
      <c r="IN624"/>
      <c r="IO624"/>
      <c r="IP624"/>
      <c r="IQ624"/>
      <c r="IR624"/>
      <c r="IS624"/>
      <c r="IT624"/>
      <c r="IU624"/>
      <c r="IV624"/>
      <c r="IW624"/>
      <c r="IX624"/>
      <c r="IY624"/>
      <c r="IZ624"/>
      <c r="JA624"/>
      <c r="JB624"/>
      <c r="JC624"/>
      <c r="JD624"/>
      <c r="JE624"/>
      <c r="JF624"/>
      <c r="JG624"/>
      <c r="JH624"/>
      <c r="JI624"/>
      <c r="JJ624"/>
      <c r="JK624"/>
      <c r="JL624"/>
      <c r="JM624"/>
      <c r="JN624"/>
      <c r="JO624"/>
      <c r="JP624"/>
      <c r="JQ624"/>
      <c r="JR624"/>
      <c r="JS624"/>
      <c r="JT624"/>
      <c r="JU624"/>
      <c r="JV624"/>
      <c r="JW624"/>
      <c r="JX624"/>
      <c r="JY624"/>
      <c r="JZ624"/>
      <c r="KA624"/>
      <c r="KB624"/>
      <c r="KC624"/>
      <c r="KD624"/>
      <c r="KE624"/>
      <c r="KF624"/>
      <c r="KG624"/>
      <c r="KH624"/>
      <c r="KI624"/>
      <c r="KJ624"/>
      <c r="KK624"/>
      <c r="KL624"/>
      <c r="KM624"/>
      <c r="KN624"/>
      <c r="KO624"/>
      <c r="KP624"/>
      <c r="KQ624"/>
      <c r="KR624"/>
      <c r="KS624"/>
    </row>
    <row r="625" spans="2:305" hidden="1" x14ac:dyDescent="0.25">
      <c r="B625"/>
      <c r="C625"/>
      <c r="D625"/>
      <c r="E625"/>
      <c r="F625"/>
      <c r="G625"/>
      <c r="H625"/>
      <c r="I6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M625"/>
      <c r="CN625"/>
      <c r="CO625"/>
      <c r="CP625"/>
      <c r="CQ625"/>
      <c r="CR625"/>
      <c r="CS625"/>
      <c r="CT625"/>
      <c r="CU625"/>
      <c r="CV625"/>
      <c r="CW625"/>
      <c r="CX625"/>
      <c r="CY625"/>
      <c r="CZ625"/>
      <c r="DA625"/>
      <c r="DB625"/>
      <c r="DC625"/>
      <c r="DD625"/>
      <c r="DE625"/>
      <c r="DF625"/>
      <c r="DG625"/>
      <c r="DH625"/>
      <c r="DI625"/>
      <c r="DJ625"/>
      <c r="DK625"/>
      <c r="DL625"/>
      <c r="DM625"/>
      <c r="DN625"/>
      <c r="DO625"/>
      <c r="DP625"/>
      <c r="DQ625"/>
      <c r="DR625"/>
      <c r="DS625"/>
      <c r="DT625"/>
      <c r="DU625"/>
      <c r="DV625"/>
      <c r="DW625"/>
      <c r="DX625"/>
      <c r="DY625"/>
      <c r="DZ625"/>
      <c r="EA625"/>
      <c r="EB625"/>
      <c r="EC625"/>
      <c r="ED625"/>
      <c r="EE625"/>
      <c r="EF625"/>
      <c r="EG625"/>
      <c r="EH625"/>
      <c r="EI625"/>
      <c r="EJ625"/>
      <c r="EK625"/>
      <c r="EL625"/>
      <c r="EM625"/>
      <c r="EN625"/>
      <c r="EO625"/>
      <c r="EP625"/>
      <c r="EQ625"/>
      <c r="ER625"/>
      <c r="ES625"/>
      <c r="ET625"/>
      <c r="EU625"/>
      <c r="EV625"/>
      <c r="EW625"/>
      <c r="EX625"/>
      <c r="EY625"/>
      <c r="EZ625"/>
      <c r="FA625"/>
      <c r="FB625"/>
      <c r="FC625"/>
      <c r="FD625"/>
      <c r="FE625"/>
      <c r="FF625"/>
      <c r="FG625"/>
      <c r="FH625"/>
      <c r="FI625"/>
      <c r="FJ625"/>
      <c r="FK625"/>
      <c r="FL625"/>
      <c r="FM625"/>
      <c r="FN625"/>
      <c r="FO625"/>
      <c r="FP625"/>
      <c r="FQ625"/>
      <c r="FR625"/>
      <c r="FS625"/>
      <c r="FT625"/>
      <c r="FU625"/>
      <c r="FV625"/>
      <c r="FW625"/>
      <c r="FX625"/>
      <c r="FY625"/>
      <c r="FZ625"/>
      <c r="GA625"/>
      <c r="GB625"/>
      <c r="GC625"/>
      <c r="GD625"/>
      <c r="GE625"/>
      <c r="GF625"/>
      <c r="GG625"/>
      <c r="GH625"/>
      <c r="GI625"/>
      <c r="GJ625"/>
      <c r="GK625"/>
      <c r="GL625"/>
      <c r="GM625"/>
      <c r="GN625"/>
      <c r="GO625"/>
      <c r="GP625"/>
      <c r="GQ625"/>
      <c r="GR625"/>
      <c r="GS625"/>
      <c r="GT625"/>
      <c r="GU625"/>
      <c r="GV625"/>
      <c r="GW625"/>
      <c r="GX625"/>
      <c r="GY625"/>
      <c r="GZ625"/>
      <c r="HA625"/>
      <c r="HB625"/>
      <c r="HC625"/>
      <c r="HD625"/>
      <c r="HE625"/>
      <c r="HF625"/>
      <c r="HG625"/>
      <c r="HH625"/>
      <c r="HI625"/>
      <c r="HJ625"/>
      <c r="HK625"/>
      <c r="HL625"/>
      <c r="HM625"/>
      <c r="HN625"/>
      <c r="HO625"/>
      <c r="HP625"/>
      <c r="HQ625"/>
      <c r="HR625"/>
      <c r="HS625"/>
      <c r="HT625"/>
      <c r="HU625"/>
      <c r="HV625"/>
      <c r="HW625"/>
      <c r="HX625"/>
      <c r="HY625"/>
      <c r="HZ625"/>
      <c r="IA625"/>
      <c r="IB625"/>
      <c r="IC625"/>
      <c r="ID625"/>
      <c r="IE625"/>
      <c r="IF625"/>
      <c r="IG625"/>
      <c r="IH625"/>
      <c r="II625"/>
      <c r="IJ625"/>
      <c r="IK625"/>
      <c r="IL625"/>
      <c r="IM625"/>
      <c r="IN625"/>
      <c r="IO625"/>
      <c r="IP625"/>
      <c r="IQ625"/>
      <c r="IR625"/>
      <c r="IS625"/>
      <c r="IT625"/>
      <c r="IU625"/>
      <c r="IV625"/>
      <c r="IW625"/>
      <c r="IX625"/>
      <c r="IY625"/>
      <c r="IZ625"/>
      <c r="JA625"/>
      <c r="JB625"/>
      <c r="JC625"/>
      <c r="JD625"/>
      <c r="JE625"/>
      <c r="JF625"/>
      <c r="JG625"/>
      <c r="JH625"/>
      <c r="JI625"/>
      <c r="JJ625"/>
      <c r="JK625"/>
      <c r="JL625"/>
      <c r="JM625"/>
      <c r="JN625"/>
      <c r="JO625"/>
      <c r="JP625"/>
      <c r="JQ625"/>
      <c r="JR625"/>
      <c r="JS625"/>
      <c r="JT625"/>
      <c r="JU625"/>
      <c r="JV625"/>
      <c r="JW625"/>
      <c r="JX625"/>
      <c r="JY625"/>
      <c r="JZ625"/>
      <c r="KA625"/>
      <c r="KB625"/>
      <c r="KC625"/>
      <c r="KD625"/>
      <c r="KE625"/>
      <c r="KF625"/>
      <c r="KG625"/>
      <c r="KH625"/>
      <c r="KI625"/>
      <c r="KJ625"/>
      <c r="KK625"/>
      <c r="KL625"/>
      <c r="KM625"/>
      <c r="KN625"/>
      <c r="KO625"/>
      <c r="KP625"/>
      <c r="KQ625"/>
      <c r="KR625"/>
      <c r="KS625"/>
    </row>
    <row r="626" spans="2:305" hidden="1" x14ac:dyDescent="0.25">
      <c r="B626"/>
      <c r="C626"/>
      <c r="D626"/>
      <c r="E626"/>
      <c r="F626"/>
      <c r="G626"/>
      <c r="H626"/>
      <c r="I626"/>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M626"/>
      <c r="CN626"/>
      <c r="CO626"/>
      <c r="CP626"/>
      <c r="CQ626"/>
      <c r="CR626"/>
      <c r="CS626"/>
      <c r="CT626"/>
      <c r="CU626"/>
      <c r="CV626"/>
      <c r="CW626"/>
      <c r="CX626"/>
      <c r="CY626"/>
      <c r="CZ626"/>
      <c r="DA626"/>
      <c r="DB626"/>
      <c r="DC626"/>
      <c r="DD626"/>
      <c r="DE626"/>
      <c r="DF626"/>
      <c r="DG626"/>
      <c r="DH626"/>
      <c r="DI626"/>
      <c r="DJ626"/>
      <c r="DK626"/>
      <c r="DL626"/>
      <c r="DM626"/>
      <c r="DN626"/>
      <c r="DO626"/>
      <c r="DP626"/>
      <c r="DQ626"/>
      <c r="DR626"/>
      <c r="DS626"/>
      <c r="DT626"/>
      <c r="DU626"/>
      <c r="DV626"/>
      <c r="DW626"/>
      <c r="DX626"/>
      <c r="DY626"/>
      <c r="DZ626"/>
      <c r="EA626"/>
      <c r="EB626"/>
      <c r="EC626"/>
      <c r="ED626"/>
      <c r="EE626"/>
      <c r="EF626"/>
      <c r="EG626"/>
      <c r="EH626"/>
      <c r="EI626"/>
      <c r="EJ626"/>
      <c r="EK626"/>
      <c r="EL626"/>
      <c r="EM626"/>
      <c r="EN626"/>
      <c r="EO626"/>
      <c r="EP626"/>
      <c r="EQ626"/>
      <c r="ER626"/>
      <c r="ES626"/>
      <c r="ET626"/>
      <c r="EU626"/>
      <c r="EV626"/>
      <c r="EW626"/>
      <c r="EX626"/>
      <c r="EY626"/>
      <c r="EZ626"/>
      <c r="FA626"/>
      <c r="FB626"/>
      <c r="FC626"/>
      <c r="FD626"/>
      <c r="FE626"/>
      <c r="FF626"/>
      <c r="FG626"/>
      <c r="FH626"/>
      <c r="FI626"/>
      <c r="FJ626"/>
      <c r="FK626"/>
      <c r="FL626"/>
      <c r="FM626"/>
      <c r="FN626"/>
      <c r="FO626"/>
      <c r="FP626"/>
      <c r="FQ626"/>
      <c r="FR626"/>
      <c r="FS626"/>
      <c r="FT626"/>
      <c r="FU626"/>
      <c r="FV626"/>
      <c r="FW626"/>
      <c r="FX626"/>
      <c r="FY626"/>
      <c r="FZ626"/>
      <c r="GA626"/>
      <c r="GB626"/>
      <c r="GC626"/>
      <c r="GD626"/>
      <c r="GE626"/>
      <c r="GF626"/>
      <c r="GG626"/>
      <c r="GH626"/>
      <c r="GI626"/>
      <c r="GJ626"/>
      <c r="GK626"/>
      <c r="GL626"/>
      <c r="GM626"/>
      <c r="GN626"/>
      <c r="GO626"/>
      <c r="GP626"/>
      <c r="GQ626"/>
      <c r="GR626"/>
      <c r="GS626"/>
      <c r="GT626"/>
      <c r="GU626"/>
      <c r="GV626"/>
      <c r="GW626"/>
      <c r="GX626"/>
      <c r="GY626"/>
      <c r="GZ626"/>
      <c r="HA626"/>
      <c r="HB626"/>
      <c r="HC626"/>
      <c r="HD626"/>
      <c r="HE626"/>
      <c r="HF626"/>
      <c r="HG626"/>
      <c r="HH626"/>
      <c r="HI626"/>
      <c r="HJ626"/>
      <c r="HK626"/>
      <c r="HL626"/>
      <c r="HM626"/>
      <c r="HN626"/>
      <c r="HO626"/>
      <c r="HP626"/>
      <c r="HQ626"/>
      <c r="HR626"/>
      <c r="HS626"/>
      <c r="HT626"/>
      <c r="HU626"/>
      <c r="HV626"/>
      <c r="HW626"/>
      <c r="HX626"/>
      <c r="HY626"/>
      <c r="HZ626"/>
      <c r="IA626"/>
      <c r="IB626"/>
      <c r="IC626"/>
      <c r="ID626"/>
      <c r="IE626"/>
      <c r="IF626"/>
      <c r="IG626"/>
      <c r="IH626"/>
      <c r="II626"/>
      <c r="IJ626"/>
      <c r="IK626"/>
      <c r="IL626"/>
      <c r="IM626"/>
      <c r="IN626"/>
      <c r="IO626"/>
      <c r="IP626"/>
      <c r="IQ626"/>
      <c r="IR626"/>
      <c r="IS626"/>
      <c r="IT626"/>
      <c r="IU626"/>
      <c r="IV626"/>
      <c r="IW626"/>
      <c r="IX626"/>
      <c r="IY626"/>
      <c r="IZ626"/>
      <c r="JA626"/>
      <c r="JB626"/>
      <c r="JC626"/>
      <c r="JD626"/>
      <c r="JE626"/>
      <c r="JF626"/>
      <c r="JG626"/>
      <c r="JH626"/>
      <c r="JI626"/>
      <c r="JJ626"/>
      <c r="JK626"/>
      <c r="JL626"/>
      <c r="JM626"/>
      <c r="JN626"/>
      <c r="JO626"/>
      <c r="JP626"/>
      <c r="JQ626"/>
      <c r="JR626"/>
      <c r="JS626"/>
      <c r="JT626"/>
      <c r="JU626"/>
      <c r="JV626"/>
      <c r="JW626"/>
      <c r="JX626"/>
      <c r="JY626"/>
      <c r="JZ626"/>
      <c r="KA626"/>
      <c r="KB626"/>
      <c r="KC626"/>
      <c r="KD626"/>
      <c r="KE626"/>
      <c r="KF626"/>
      <c r="KG626"/>
      <c r="KH626"/>
      <c r="KI626"/>
      <c r="KJ626"/>
      <c r="KK626"/>
      <c r="KL626"/>
      <c r="KM626"/>
      <c r="KN626"/>
      <c r="KO626"/>
      <c r="KP626"/>
      <c r="KQ626"/>
      <c r="KR626"/>
      <c r="KS626"/>
    </row>
    <row r="627" spans="2:305" hidden="1" x14ac:dyDescent="0.25">
      <c r="B627"/>
      <c r="C627"/>
      <c r="D627"/>
      <c r="E627"/>
      <c r="F627"/>
      <c r="G627"/>
      <c r="H627"/>
      <c r="I627"/>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M627"/>
      <c r="CN627"/>
      <c r="CO627"/>
      <c r="CP627"/>
      <c r="CQ627"/>
      <c r="CR627"/>
      <c r="CS627"/>
      <c r="CT627"/>
      <c r="CU627"/>
      <c r="CV627"/>
      <c r="CW627"/>
      <c r="CX627"/>
      <c r="CY627"/>
      <c r="CZ627"/>
      <c r="DA627"/>
      <c r="DB627"/>
      <c r="DC627"/>
      <c r="DD627"/>
      <c r="DE627"/>
      <c r="DF627"/>
      <c r="DG627"/>
      <c r="DH627"/>
      <c r="DI627"/>
      <c r="DJ627"/>
      <c r="DK627"/>
      <c r="DL627"/>
      <c r="DM627"/>
      <c r="DN627"/>
      <c r="DO627"/>
      <c r="DP627"/>
      <c r="DQ627"/>
      <c r="DR627"/>
      <c r="DS627"/>
      <c r="DT627"/>
      <c r="DU627"/>
      <c r="DV627"/>
      <c r="DW627"/>
      <c r="DX627"/>
      <c r="DY627"/>
      <c r="DZ627"/>
      <c r="EA627"/>
      <c r="EB627"/>
      <c r="EC627"/>
      <c r="ED627"/>
      <c r="EE627"/>
      <c r="EF627"/>
      <c r="EG627"/>
      <c r="EH627"/>
      <c r="EI627"/>
      <c r="EJ627"/>
      <c r="EK627"/>
      <c r="EL627"/>
      <c r="EM627"/>
      <c r="EN627"/>
      <c r="EO627"/>
      <c r="EP627"/>
      <c r="EQ627"/>
      <c r="ER627"/>
      <c r="ES627"/>
      <c r="ET627"/>
      <c r="EU627"/>
      <c r="EV627"/>
      <c r="EW627"/>
      <c r="EX627"/>
      <c r="EY627"/>
      <c r="EZ627"/>
      <c r="FA627"/>
      <c r="FB627"/>
      <c r="FC627"/>
      <c r="FD627"/>
      <c r="FE627"/>
      <c r="FF627"/>
      <c r="FG627"/>
      <c r="FH627"/>
      <c r="FI627"/>
      <c r="FJ627"/>
      <c r="FK627"/>
      <c r="FL627"/>
      <c r="FM627"/>
      <c r="FN627"/>
      <c r="FO627"/>
      <c r="FP627"/>
      <c r="FQ627"/>
      <c r="FR627"/>
      <c r="FS627"/>
      <c r="FT627"/>
      <c r="FU627"/>
      <c r="FV627"/>
      <c r="FW627"/>
      <c r="FX627"/>
      <c r="FY627"/>
      <c r="FZ627"/>
      <c r="GA627"/>
      <c r="GB627"/>
      <c r="GC627"/>
      <c r="GD627"/>
      <c r="GE627"/>
      <c r="GF627"/>
      <c r="GG627"/>
      <c r="GH627"/>
      <c r="GI627"/>
      <c r="GJ627"/>
      <c r="GK627"/>
      <c r="GL627"/>
      <c r="GM627"/>
      <c r="GN627"/>
      <c r="GO627"/>
      <c r="GP627"/>
      <c r="GQ627"/>
      <c r="GR627"/>
      <c r="GS627"/>
      <c r="GT627"/>
      <c r="GU627"/>
      <c r="GV627"/>
      <c r="GW627"/>
      <c r="GX627"/>
      <c r="GY627"/>
      <c r="GZ627"/>
      <c r="HA627"/>
      <c r="HB627"/>
      <c r="HC627"/>
      <c r="HD627"/>
      <c r="HE627"/>
      <c r="HF627"/>
      <c r="HG627"/>
      <c r="HH627"/>
      <c r="HI627"/>
      <c r="HJ627"/>
      <c r="HK627"/>
      <c r="HL627"/>
      <c r="HM627"/>
      <c r="HN627"/>
      <c r="HO627"/>
      <c r="HP627"/>
      <c r="HQ627"/>
      <c r="HR627"/>
      <c r="HS627"/>
      <c r="HT627"/>
      <c r="HU627"/>
      <c r="HV627"/>
      <c r="HW627"/>
      <c r="HX627"/>
      <c r="HY627"/>
      <c r="HZ627"/>
      <c r="IA627"/>
      <c r="IB627"/>
      <c r="IC627"/>
      <c r="ID627"/>
      <c r="IE627"/>
      <c r="IF627"/>
      <c r="IG627"/>
      <c r="IH627"/>
      <c r="II627"/>
      <c r="IJ627"/>
      <c r="IK627"/>
      <c r="IL627"/>
      <c r="IM627"/>
      <c r="IN627"/>
      <c r="IO627"/>
      <c r="IP627"/>
      <c r="IQ627"/>
      <c r="IR627"/>
      <c r="IS627"/>
      <c r="IT627"/>
      <c r="IU627"/>
      <c r="IV627"/>
      <c r="IW627"/>
      <c r="IX627"/>
      <c r="IY627"/>
      <c r="IZ627"/>
      <c r="JA627"/>
      <c r="JB627"/>
      <c r="JC627"/>
      <c r="JD627"/>
      <c r="JE627"/>
      <c r="JF627"/>
      <c r="JG627"/>
      <c r="JH627"/>
      <c r="JI627"/>
      <c r="JJ627"/>
      <c r="JK627"/>
      <c r="JL627"/>
      <c r="JM627"/>
      <c r="JN627"/>
      <c r="JO627"/>
      <c r="JP627"/>
      <c r="JQ627"/>
      <c r="JR627"/>
      <c r="JS627"/>
      <c r="JT627"/>
      <c r="JU627"/>
      <c r="JV627"/>
      <c r="JW627"/>
      <c r="JX627"/>
      <c r="JY627"/>
      <c r="JZ627"/>
      <c r="KA627"/>
      <c r="KB627"/>
      <c r="KC627"/>
      <c r="KD627"/>
      <c r="KE627"/>
      <c r="KF627"/>
      <c r="KG627"/>
      <c r="KH627"/>
      <c r="KI627"/>
      <c r="KJ627"/>
      <c r="KK627"/>
      <c r="KL627"/>
      <c r="KM627"/>
      <c r="KN627"/>
      <c r="KO627"/>
      <c r="KP627"/>
      <c r="KQ627"/>
      <c r="KR627"/>
      <c r="KS627"/>
    </row>
    <row r="628" spans="2:305" hidden="1" x14ac:dyDescent="0.25">
      <c r="B628"/>
      <c r="C628"/>
      <c r="D628"/>
      <c r="E628"/>
      <c r="F628"/>
      <c r="G628"/>
      <c r="H628"/>
      <c r="I628"/>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M628"/>
      <c r="CN628"/>
      <c r="CO628"/>
      <c r="CP628"/>
      <c r="CQ628"/>
      <c r="CR628"/>
      <c r="CS628"/>
      <c r="CT628"/>
      <c r="CU628"/>
      <c r="CV628"/>
      <c r="CW628"/>
      <c r="CX628"/>
      <c r="CY628"/>
      <c r="CZ628"/>
      <c r="DA628"/>
      <c r="DB628"/>
      <c r="DC628"/>
      <c r="DD628"/>
      <c r="DE628"/>
      <c r="DF628"/>
      <c r="DG628"/>
      <c r="DH628"/>
      <c r="DI628"/>
      <c r="DJ628"/>
      <c r="DK628"/>
      <c r="DL628"/>
      <c r="DM628"/>
      <c r="DN628"/>
      <c r="DO628"/>
      <c r="DP628"/>
      <c r="DQ628"/>
      <c r="DR628"/>
      <c r="DS628"/>
      <c r="DT628"/>
      <c r="DU628"/>
      <c r="DV628"/>
      <c r="DW628"/>
      <c r="DX628"/>
      <c r="DY628"/>
      <c r="DZ628"/>
      <c r="EA628"/>
      <c r="EB628"/>
      <c r="EC628"/>
      <c r="ED628"/>
      <c r="EE628"/>
      <c r="EF628"/>
      <c r="EG628"/>
      <c r="EH628"/>
      <c r="EI628"/>
      <c r="EJ628"/>
      <c r="EK628"/>
      <c r="EL628"/>
      <c r="EM628"/>
      <c r="EN628"/>
      <c r="EO628"/>
      <c r="EP628"/>
      <c r="EQ628"/>
      <c r="ER628"/>
      <c r="ES628"/>
      <c r="ET628"/>
      <c r="EU628"/>
      <c r="EV628"/>
      <c r="EW628"/>
      <c r="EX628"/>
      <c r="EY628"/>
      <c r="EZ628"/>
      <c r="FA628"/>
      <c r="FB628"/>
      <c r="FC628"/>
      <c r="FD628"/>
      <c r="FE628"/>
      <c r="FF628"/>
      <c r="FG628"/>
      <c r="FH628"/>
      <c r="FI628"/>
      <c r="FJ628"/>
      <c r="FK628"/>
      <c r="FL628"/>
      <c r="FM628"/>
      <c r="FN628"/>
      <c r="FO628"/>
      <c r="FP628"/>
      <c r="FQ628"/>
      <c r="FR628"/>
      <c r="FS628"/>
      <c r="FT628"/>
      <c r="FU628"/>
      <c r="FV628"/>
      <c r="FW628"/>
      <c r="FX628"/>
      <c r="FY628"/>
      <c r="FZ628"/>
      <c r="GA628"/>
      <c r="GB628"/>
      <c r="GC628"/>
      <c r="GD628"/>
      <c r="GE628"/>
      <c r="GF628"/>
      <c r="GG628"/>
      <c r="GH628"/>
      <c r="GI628"/>
      <c r="GJ628"/>
      <c r="GK628"/>
      <c r="GL628"/>
      <c r="GM628"/>
      <c r="GN628"/>
      <c r="GO628"/>
      <c r="GP628"/>
      <c r="GQ628"/>
      <c r="GR628"/>
      <c r="GS628"/>
      <c r="GT628"/>
      <c r="GU628"/>
      <c r="GV628"/>
      <c r="GW628"/>
      <c r="GX628"/>
      <c r="GY628"/>
      <c r="GZ628"/>
      <c r="HA628"/>
      <c r="HB628"/>
      <c r="HC628"/>
      <c r="HD628"/>
      <c r="HE628"/>
      <c r="HF628"/>
      <c r="HG628"/>
      <c r="HH628"/>
      <c r="HI628"/>
      <c r="HJ628"/>
      <c r="HK628"/>
      <c r="HL628"/>
      <c r="HM628"/>
      <c r="HN628"/>
      <c r="HO628"/>
      <c r="HP628"/>
      <c r="HQ628"/>
      <c r="HR628"/>
      <c r="HS628"/>
      <c r="HT628"/>
      <c r="HU628"/>
      <c r="HV628"/>
      <c r="HW628"/>
      <c r="HX628"/>
      <c r="HY628"/>
      <c r="HZ628"/>
      <c r="IA628"/>
      <c r="IB628"/>
      <c r="IC628"/>
      <c r="ID628"/>
      <c r="IE628"/>
      <c r="IF628"/>
      <c r="IG628"/>
      <c r="IH628"/>
      <c r="II628"/>
      <c r="IJ628"/>
      <c r="IK628"/>
      <c r="IL628"/>
      <c r="IM628"/>
      <c r="IN628"/>
      <c r="IO628"/>
      <c r="IP628"/>
      <c r="IQ628"/>
      <c r="IR628"/>
      <c r="IS628"/>
      <c r="IT628"/>
      <c r="IU628"/>
      <c r="IV628"/>
      <c r="IW628"/>
      <c r="IX628"/>
      <c r="IY628"/>
      <c r="IZ628"/>
      <c r="JA628"/>
      <c r="JB628"/>
      <c r="JC628"/>
      <c r="JD628"/>
      <c r="JE628"/>
      <c r="JF628"/>
      <c r="JG628"/>
      <c r="JH628"/>
      <c r="JI628"/>
      <c r="JJ628"/>
      <c r="JK628"/>
      <c r="JL628"/>
      <c r="JM628"/>
      <c r="JN628"/>
      <c r="JO628"/>
      <c r="JP628"/>
      <c r="JQ628"/>
      <c r="JR628"/>
      <c r="JS628"/>
      <c r="JT628"/>
      <c r="JU628"/>
      <c r="JV628"/>
      <c r="JW628"/>
      <c r="JX628"/>
      <c r="JY628"/>
      <c r="JZ628"/>
      <c r="KA628"/>
      <c r="KB628"/>
      <c r="KC628"/>
      <c r="KD628"/>
      <c r="KE628"/>
      <c r="KF628"/>
      <c r="KG628"/>
      <c r="KH628"/>
      <c r="KI628"/>
      <c r="KJ628"/>
      <c r="KK628"/>
      <c r="KL628"/>
      <c r="KM628"/>
      <c r="KN628"/>
      <c r="KO628"/>
      <c r="KP628"/>
      <c r="KQ628"/>
      <c r="KR628"/>
      <c r="KS628"/>
    </row>
    <row r="629" spans="2:305" hidden="1" x14ac:dyDescent="0.25">
      <c r="B629"/>
      <c r="C629"/>
      <c r="D629"/>
      <c r="E629"/>
      <c r="F629"/>
      <c r="G629"/>
      <c r="H629"/>
      <c r="I629"/>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M629"/>
      <c r="CN629"/>
      <c r="CO629"/>
      <c r="CP629"/>
      <c r="CQ629"/>
      <c r="CR629"/>
      <c r="CS629"/>
      <c r="CT629"/>
      <c r="CU629"/>
      <c r="CV629"/>
      <c r="CW629"/>
      <c r="CX629"/>
      <c r="CY629"/>
      <c r="CZ629"/>
      <c r="DA629"/>
      <c r="DB629"/>
      <c r="DC629"/>
      <c r="DD629"/>
      <c r="DE629"/>
      <c r="DF629"/>
      <c r="DG629"/>
      <c r="DH629"/>
      <c r="DI629"/>
      <c r="DJ629"/>
      <c r="DK629"/>
      <c r="DL629"/>
      <c r="DM629"/>
      <c r="DN629"/>
      <c r="DO629"/>
      <c r="DP629"/>
      <c r="DQ629"/>
      <c r="DR629"/>
      <c r="DS629"/>
      <c r="DT629"/>
      <c r="DU629"/>
      <c r="DV629"/>
      <c r="DW629"/>
      <c r="DX629"/>
      <c r="DY629"/>
      <c r="DZ629"/>
      <c r="EA629"/>
      <c r="EB629"/>
      <c r="EC629"/>
      <c r="ED629"/>
      <c r="EE629"/>
      <c r="EF629"/>
      <c r="EG629"/>
      <c r="EH629"/>
      <c r="EI629"/>
      <c r="EJ629"/>
      <c r="EK629"/>
      <c r="EL629"/>
      <c r="EM629"/>
      <c r="EN629"/>
      <c r="EO629"/>
      <c r="EP629"/>
      <c r="EQ629"/>
      <c r="ER629"/>
      <c r="ES629"/>
      <c r="ET629"/>
      <c r="EU629"/>
      <c r="EV629"/>
      <c r="EW629"/>
      <c r="EX629"/>
      <c r="EY629"/>
      <c r="EZ629"/>
      <c r="FA629"/>
      <c r="FB629"/>
      <c r="FC629"/>
      <c r="FD629"/>
      <c r="FE629"/>
      <c r="FF629"/>
      <c r="FG629"/>
      <c r="FH629"/>
      <c r="FI629"/>
      <c r="FJ629"/>
      <c r="FK629"/>
      <c r="FL629"/>
      <c r="FM629"/>
      <c r="FN629"/>
      <c r="FO629"/>
      <c r="FP629"/>
      <c r="FQ629"/>
      <c r="FR629"/>
      <c r="FS629"/>
      <c r="FT629"/>
      <c r="FU629"/>
      <c r="FV629"/>
      <c r="FW629"/>
      <c r="FX629"/>
      <c r="FY629"/>
      <c r="FZ629"/>
      <c r="GA629"/>
      <c r="GB629"/>
      <c r="GC629"/>
      <c r="GD629"/>
      <c r="GE629"/>
      <c r="GF629"/>
      <c r="GG629"/>
      <c r="GH629"/>
      <c r="GI629"/>
      <c r="GJ629"/>
      <c r="GK629"/>
      <c r="GL629"/>
      <c r="GM629"/>
      <c r="GN629"/>
      <c r="GO629"/>
      <c r="GP629"/>
      <c r="GQ629"/>
      <c r="GR629"/>
      <c r="GS629"/>
      <c r="GT629"/>
      <c r="GU629"/>
      <c r="GV629"/>
      <c r="GW629"/>
      <c r="GX629"/>
      <c r="GY629"/>
      <c r="GZ629"/>
      <c r="HA629"/>
      <c r="HB629"/>
      <c r="HC629"/>
      <c r="HD629"/>
      <c r="HE629"/>
      <c r="HF629"/>
      <c r="HG629"/>
      <c r="HH629"/>
      <c r="HI629"/>
      <c r="HJ629"/>
      <c r="HK629"/>
      <c r="HL629"/>
      <c r="HM629"/>
      <c r="HN629"/>
      <c r="HO629"/>
      <c r="HP629"/>
      <c r="HQ629"/>
      <c r="HR629"/>
      <c r="HS629"/>
      <c r="HT629"/>
      <c r="HU629"/>
      <c r="HV629"/>
      <c r="HW629"/>
      <c r="HX629"/>
      <c r="HY629"/>
      <c r="HZ629"/>
      <c r="IA629"/>
      <c r="IB629"/>
      <c r="IC629"/>
      <c r="ID629"/>
      <c r="IE629"/>
      <c r="IF629"/>
      <c r="IG629"/>
      <c r="IH629"/>
      <c r="II629"/>
      <c r="IJ629"/>
      <c r="IK629"/>
      <c r="IL629"/>
      <c r="IM629"/>
      <c r="IN629"/>
      <c r="IO629"/>
      <c r="IP629"/>
      <c r="IQ629"/>
      <c r="IR629"/>
      <c r="IS629"/>
      <c r="IT629"/>
      <c r="IU629"/>
      <c r="IV629"/>
      <c r="IW629"/>
      <c r="IX629"/>
      <c r="IY629"/>
      <c r="IZ629"/>
      <c r="JA629"/>
      <c r="JB629"/>
      <c r="JC629"/>
      <c r="JD629"/>
      <c r="JE629"/>
      <c r="JF629"/>
      <c r="JG629"/>
      <c r="JH629"/>
      <c r="JI629"/>
      <c r="JJ629"/>
      <c r="JK629"/>
      <c r="JL629"/>
      <c r="JM629"/>
      <c r="JN629"/>
      <c r="JO629"/>
      <c r="JP629"/>
      <c r="JQ629"/>
      <c r="JR629"/>
      <c r="JS629"/>
      <c r="JT629"/>
      <c r="JU629"/>
      <c r="JV629"/>
      <c r="JW629"/>
      <c r="JX629"/>
      <c r="JY629"/>
      <c r="JZ629"/>
      <c r="KA629"/>
      <c r="KB629"/>
      <c r="KC629"/>
      <c r="KD629"/>
      <c r="KE629"/>
      <c r="KF629"/>
      <c r="KG629"/>
      <c r="KH629"/>
      <c r="KI629"/>
      <c r="KJ629"/>
      <c r="KK629"/>
      <c r="KL629"/>
      <c r="KM629"/>
      <c r="KN629"/>
      <c r="KO629"/>
      <c r="KP629"/>
      <c r="KQ629"/>
      <c r="KR629"/>
      <c r="KS629"/>
    </row>
    <row r="630" spans="2:305" hidden="1" x14ac:dyDescent="0.25">
      <c r="B630"/>
      <c r="C630"/>
      <c r="D630"/>
      <c r="E630"/>
      <c r="F630"/>
      <c r="G630"/>
      <c r="H630"/>
      <c r="I630"/>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c r="CW630"/>
      <c r="CX630"/>
      <c r="CY630"/>
      <c r="CZ630"/>
      <c r="DA630"/>
      <c r="DB630"/>
      <c r="DC630"/>
      <c r="DD630"/>
      <c r="DE630"/>
      <c r="DF630"/>
      <c r="DG630"/>
      <c r="DH630"/>
      <c r="DI630"/>
      <c r="DJ630"/>
      <c r="DK630"/>
      <c r="DL630"/>
      <c r="DM630"/>
      <c r="DN630"/>
      <c r="DO630"/>
      <c r="DP630"/>
      <c r="DQ630"/>
      <c r="DR630"/>
      <c r="DS630"/>
      <c r="DT630"/>
      <c r="DU630"/>
      <c r="DV630"/>
      <c r="DW630"/>
      <c r="DX630"/>
      <c r="DY630"/>
      <c r="DZ630"/>
      <c r="EA630"/>
      <c r="EB630"/>
      <c r="EC630"/>
      <c r="ED630"/>
      <c r="EE630"/>
      <c r="EF630"/>
      <c r="EG630"/>
      <c r="EH630"/>
      <c r="EI630"/>
      <c r="EJ630"/>
      <c r="EK630"/>
      <c r="EL630"/>
      <c r="EM630"/>
      <c r="EN630"/>
      <c r="EO630"/>
      <c r="EP630"/>
      <c r="EQ630"/>
      <c r="ER630"/>
      <c r="ES630"/>
      <c r="ET630"/>
      <c r="EU630"/>
      <c r="EV630"/>
      <c r="EW630"/>
      <c r="EX630"/>
      <c r="EY630"/>
      <c r="EZ630"/>
      <c r="FA630"/>
      <c r="FB630"/>
      <c r="FC630"/>
      <c r="FD630"/>
      <c r="FE630"/>
      <c r="FF630"/>
      <c r="FG630"/>
      <c r="FH630"/>
      <c r="FI630"/>
      <c r="FJ630"/>
      <c r="FK630"/>
      <c r="FL630"/>
      <c r="FM630"/>
      <c r="FN630"/>
      <c r="FO630"/>
      <c r="FP630"/>
      <c r="FQ630"/>
      <c r="FR630"/>
      <c r="FS630"/>
      <c r="FT630"/>
      <c r="FU630"/>
      <c r="FV630"/>
      <c r="FW630"/>
      <c r="FX630"/>
      <c r="FY630"/>
      <c r="FZ630"/>
      <c r="GA630"/>
      <c r="GB630"/>
      <c r="GC630"/>
      <c r="GD630"/>
      <c r="GE630"/>
      <c r="GF630"/>
      <c r="GG630"/>
      <c r="GH630"/>
      <c r="GI630"/>
      <c r="GJ630"/>
      <c r="GK630"/>
      <c r="GL630"/>
      <c r="GM630"/>
      <c r="GN630"/>
      <c r="GO630"/>
      <c r="GP630"/>
      <c r="GQ630"/>
      <c r="GR630"/>
      <c r="GS630"/>
      <c r="GT630"/>
      <c r="GU630"/>
      <c r="GV630"/>
      <c r="GW630"/>
      <c r="GX630"/>
      <c r="GY630"/>
      <c r="GZ630"/>
      <c r="HA630"/>
      <c r="HB630"/>
      <c r="HC630"/>
      <c r="HD630"/>
      <c r="HE630"/>
      <c r="HF630"/>
      <c r="HG630"/>
      <c r="HH630"/>
      <c r="HI630"/>
      <c r="HJ630"/>
      <c r="HK630"/>
      <c r="HL630"/>
      <c r="HM630"/>
      <c r="HN630"/>
      <c r="HO630"/>
      <c r="HP630"/>
      <c r="HQ630"/>
      <c r="HR630"/>
      <c r="HS630"/>
      <c r="HT630"/>
      <c r="HU630"/>
      <c r="HV630"/>
      <c r="HW630"/>
      <c r="HX630"/>
      <c r="HY630"/>
      <c r="HZ630"/>
      <c r="IA630"/>
      <c r="IB630"/>
      <c r="IC630"/>
      <c r="ID630"/>
      <c r="IE630"/>
      <c r="IF630"/>
      <c r="IG630"/>
      <c r="IH630"/>
      <c r="II630"/>
      <c r="IJ630"/>
      <c r="IK630"/>
      <c r="IL630"/>
      <c r="IM630"/>
      <c r="IN630"/>
      <c r="IO630"/>
      <c r="IP630"/>
      <c r="IQ630"/>
      <c r="IR630"/>
      <c r="IS630"/>
      <c r="IT630"/>
      <c r="IU630"/>
      <c r="IV630"/>
      <c r="IW630"/>
      <c r="IX630"/>
      <c r="IY630"/>
      <c r="IZ630"/>
      <c r="JA630"/>
      <c r="JB630"/>
      <c r="JC630"/>
      <c r="JD630"/>
      <c r="JE630"/>
      <c r="JF630"/>
      <c r="JG630"/>
      <c r="JH630"/>
      <c r="JI630"/>
      <c r="JJ630"/>
      <c r="JK630"/>
      <c r="JL630"/>
      <c r="JM630"/>
      <c r="JN630"/>
      <c r="JO630"/>
      <c r="JP630"/>
      <c r="JQ630"/>
      <c r="JR630"/>
      <c r="JS630"/>
      <c r="JT630"/>
      <c r="JU630"/>
      <c r="JV630"/>
      <c r="JW630"/>
      <c r="JX630"/>
      <c r="JY630"/>
      <c r="JZ630"/>
      <c r="KA630"/>
      <c r="KB630"/>
      <c r="KC630"/>
      <c r="KD630"/>
      <c r="KE630"/>
      <c r="KF630"/>
      <c r="KG630"/>
      <c r="KH630"/>
      <c r="KI630"/>
      <c r="KJ630"/>
      <c r="KK630"/>
      <c r="KL630"/>
      <c r="KM630"/>
      <c r="KN630"/>
      <c r="KO630"/>
      <c r="KP630"/>
      <c r="KQ630"/>
      <c r="KR630"/>
      <c r="KS630"/>
    </row>
    <row r="631" spans="2:305" hidden="1" x14ac:dyDescent="0.25">
      <c r="B631"/>
      <c r="C631"/>
      <c r="D631"/>
      <c r="E631"/>
      <c r="F631"/>
      <c r="G631"/>
      <c r="H631"/>
      <c r="I631"/>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M631"/>
      <c r="CN631"/>
      <c r="CO631"/>
      <c r="CP631"/>
      <c r="CQ631"/>
      <c r="CR631"/>
      <c r="CS631"/>
      <c r="CT631"/>
      <c r="CU631"/>
      <c r="CV631"/>
      <c r="CW631"/>
      <c r="CX631"/>
      <c r="CY631"/>
      <c r="CZ631"/>
      <c r="DA631"/>
      <c r="DB631"/>
      <c r="DC631"/>
      <c r="DD631"/>
      <c r="DE631"/>
      <c r="DF631"/>
      <c r="DG631"/>
      <c r="DH631"/>
      <c r="DI631"/>
      <c r="DJ631"/>
      <c r="DK631"/>
      <c r="DL631"/>
      <c r="DM631"/>
      <c r="DN631"/>
      <c r="DO631"/>
      <c r="DP631"/>
      <c r="DQ631"/>
      <c r="DR631"/>
      <c r="DS631"/>
      <c r="DT631"/>
      <c r="DU631"/>
      <c r="DV631"/>
      <c r="DW631"/>
      <c r="DX631"/>
      <c r="DY631"/>
      <c r="DZ631"/>
      <c r="EA631"/>
      <c r="EB631"/>
      <c r="EC631"/>
      <c r="ED631"/>
      <c r="EE631"/>
      <c r="EF631"/>
      <c r="EG631"/>
      <c r="EH631"/>
      <c r="EI631"/>
      <c r="EJ631"/>
      <c r="EK631"/>
      <c r="EL631"/>
      <c r="EM631"/>
      <c r="EN631"/>
      <c r="EO631"/>
      <c r="EP631"/>
      <c r="EQ631"/>
      <c r="ER631"/>
      <c r="ES631"/>
      <c r="ET631"/>
      <c r="EU631"/>
      <c r="EV631"/>
      <c r="EW631"/>
      <c r="EX631"/>
      <c r="EY631"/>
      <c r="EZ631"/>
      <c r="FA631"/>
      <c r="FB631"/>
      <c r="FC631"/>
      <c r="FD631"/>
      <c r="FE631"/>
      <c r="FF631"/>
      <c r="FG631"/>
      <c r="FH631"/>
      <c r="FI631"/>
      <c r="FJ631"/>
      <c r="FK631"/>
      <c r="FL631"/>
      <c r="FM631"/>
      <c r="FN631"/>
      <c r="FO631"/>
      <c r="FP631"/>
      <c r="FQ631"/>
      <c r="FR631"/>
      <c r="FS631"/>
      <c r="FT631"/>
      <c r="FU631"/>
      <c r="FV631"/>
      <c r="FW631"/>
      <c r="FX631"/>
      <c r="FY631"/>
      <c r="FZ631"/>
      <c r="GA631"/>
      <c r="GB631"/>
      <c r="GC631"/>
      <c r="GD631"/>
      <c r="GE631"/>
      <c r="GF631"/>
      <c r="GG631"/>
      <c r="GH631"/>
      <c r="GI631"/>
      <c r="GJ631"/>
      <c r="GK631"/>
      <c r="GL631"/>
      <c r="GM631"/>
      <c r="GN631"/>
      <c r="GO631"/>
      <c r="GP631"/>
      <c r="GQ631"/>
      <c r="GR631"/>
      <c r="GS631"/>
      <c r="GT631"/>
      <c r="GU631"/>
      <c r="GV631"/>
      <c r="GW631"/>
      <c r="GX631"/>
      <c r="GY631"/>
      <c r="GZ631"/>
      <c r="HA631"/>
      <c r="HB631"/>
      <c r="HC631"/>
      <c r="HD631"/>
      <c r="HE631"/>
      <c r="HF631"/>
      <c r="HG631"/>
      <c r="HH631"/>
      <c r="HI631"/>
      <c r="HJ631"/>
      <c r="HK631"/>
      <c r="HL631"/>
      <c r="HM631"/>
      <c r="HN631"/>
      <c r="HO631"/>
      <c r="HP631"/>
      <c r="HQ631"/>
      <c r="HR631"/>
      <c r="HS631"/>
      <c r="HT631"/>
      <c r="HU631"/>
      <c r="HV631"/>
      <c r="HW631"/>
      <c r="HX631"/>
      <c r="HY631"/>
      <c r="HZ631"/>
      <c r="IA631"/>
      <c r="IB631"/>
      <c r="IC631"/>
      <c r="ID631"/>
      <c r="IE631"/>
      <c r="IF631"/>
      <c r="IG631"/>
      <c r="IH631"/>
      <c r="II631"/>
      <c r="IJ631"/>
      <c r="IK631"/>
      <c r="IL631"/>
      <c r="IM631"/>
      <c r="IN631"/>
      <c r="IO631"/>
      <c r="IP631"/>
      <c r="IQ631"/>
      <c r="IR631"/>
      <c r="IS631"/>
      <c r="IT631"/>
      <c r="IU631"/>
      <c r="IV631"/>
      <c r="IW631"/>
      <c r="IX631"/>
      <c r="IY631"/>
      <c r="IZ631"/>
      <c r="JA631"/>
      <c r="JB631"/>
      <c r="JC631"/>
      <c r="JD631"/>
      <c r="JE631"/>
      <c r="JF631"/>
      <c r="JG631"/>
      <c r="JH631"/>
      <c r="JI631"/>
      <c r="JJ631"/>
      <c r="JK631"/>
      <c r="JL631"/>
      <c r="JM631"/>
      <c r="JN631"/>
      <c r="JO631"/>
      <c r="JP631"/>
      <c r="JQ631"/>
      <c r="JR631"/>
      <c r="JS631"/>
      <c r="JT631"/>
      <c r="JU631"/>
      <c r="JV631"/>
      <c r="JW631"/>
      <c r="JX631"/>
      <c r="JY631"/>
      <c r="JZ631"/>
      <c r="KA631"/>
      <c r="KB631"/>
      <c r="KC631"/>
      <c r="KD631"/>
      <c r="KE631"/>
      <c r="KF631"/>
      <c r="KG631"/>
      <c r="KH631"/>
      <c r="KI631"/>
      <c r="KJ631"/>
      <c r="KK631"/>
      <c r="KL631"/>
      <c r="KM631"/>
      <c r="KN631"/>
      <c r="KO631"/>
      <c r="KP631"/>
      <c r="KQ631"/>
      <c r="KR631"/>
      <c r="KS631"/>
    </row>
    <row r="632" spans="2:305" hidden="1" x14ac:dyDescent="0.25">
      <c r="B632"/>
      <c r="C632"/>
      <c r="D632"/>
      <c r="E632"/>
      <c r="F632"/>
      <c r="G632"/>
      <c r="H632"/>
      <c r="I632"/>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M632"/>
      <c r="CN632"/>
      <c r="CO632"/>
      <c r="CP632"/>
      <c r="CQ632"/>
      <c r="CR632"/>
      <c r="CS632"/>
      <c r="CT632"/>
      <c r="CU632"/>
      <c r="CV632"/>
      <c r="CW632"/>
      <c r="CX632"/>
      <c r="CY632"/>
      <c r="CZ632"/>
      <c r="DA632"/>
      <c r="DB632"/>
      <c r="DC632"/>
      <c r="DD632"/>
      <c r="DE632"/>
      <c r="DF632"/>
      <c r="DG632"/>
      <c r="DH632"/>
      <c r="DI632"/>
      <c r="DJ632"/>
      <c r="DK632"/>
      <c r="DL632"/>
      <c r="DM632"/>
      <c r="DN632"/>
      <c r="DO632"/>
      <c r="DP632"/>
      <c r="DQ632"/>
      <c r="DR632"/>
      <c r="DS632"/>
      <c r="DT632"/>
      <c r="DU632"/>
      <c r="DV632"/>
      <c r="DW632"/>
      <c r="DX632"/>
      <c r="DY632"/>
      <c r="DZ632"/>
      <c r="EA632"/>
      <c r="EB632"/>
      <c r="EC632"/>
      <c r="ED632"/>
      <c r="EE632"/>
      <c r="EF632"/>
      <c r="EG632"/>
      <c r="EH632"/>
      <c r="EI632"/>
      <c r="EJ632"/>
      <c r="EK632"/>
      <c r="EL632"/>
      <c r="EM632"/>
      <c r="EN632"/>
      <c r="EO632"/>
      <c r="EP632"/>
      <c r="EQ632"/>
      <c r="ER632"/>
      <c r="ES632"/>
      <c r="ET632"/>
      <c r="EU632"/>
      <c r="EV632"/>
      <c r="EW632"/>
      <c r="EX632"/>
      <c r="EY632"/>
      <c r="EZ632"/>
      <c r="FA632"/>
      <c r="FB632"/>
      <c r="FC632"/>
      <c r="FD632"/>
      <c r="FE632"/>
      <c r="FF632"/>
      <c r="FG632"/>
      <c r="FH632"/>
      <c r="FI632"/>
      <c r="FJ632"/>
      <c r="FK632"/>
      <c r="FL632"/>
      <c r="FM632"/>
      <c r="FN632"/>
      <c r="FO632"/>
      <c r="FP632"/>
      <c r="FQ632"/>
      <c r="FR632"/>
      <c r="FS632"/>
      <c r="FT632"/>
      <c r="FU632"/>
      <c r="FV632"/>
      <c r="FW632"/>
      <c r="FX632"/>
      <c r="FY632"/>
      <c r="FZ632"/>
      <c r="GA632"/>
      <c r="GB632"/>
      <c r="GC632"/>
      <c r="GD632"/>
      <c r="GE632"/>
      <c r="GF632"/>
      <c r="GG632"/>
      <c r="GH632"/>
      <c r="GI632"/>
      <c r="GJ632"/>
      <c r="GK632"/>
      <c r="GL632"/>
      <c r="GM632"/>
      <c r="GN632"/>
      <c r="GO632"/>
      <c r="GP632"/>
      <c r="GQ632"/>
      <c r="GR632"/>
      <c r="GS632"/>
      <c r="GT632"/>
      <c r="GU632"/>
      <c r="GV632"/>
      <c r="GW632"/>
      <c r="GX632"/>
      <c r="GY632"/>
      <c r="GZ632"/>
      <c r="HA632"/>
      <c r="HB632"/>
      <c r="HC632"/>
      <c r="HD632"/>
      <c r="HE632"/>
      <c r="HF632"/>
      <c r="HG632"/>
      <c r="HH632"/>
      <c r="HI632"/>
      <c r="HJ632"/>
      <c r="HK632"/>
      <c r="HL632"/>
      <c r="HM632"/>
      <c r="HN632"/>
      <c r="HO632"/>
      <c r="HP632"/>
      <c r="HQ632"/>
      <c r="HR632"/>
      <c r="HS632"/>
      <c r="HT632"/>
      <c r="HU632"/>
      <c r="HV632"/>
      <c r="HW632"/>
      <c r="HX632"/>
      <c r="HY632"/>
      <c r="HZ632"/>
      <c r="IA632"/>
      <c r="IB632"/>
      <c r="IC632"/>
      <c r="ID632"/>
      <c r="IE632"/>
      <c r="IF632"/>
      <c r="IG632"/>
      <c r="IH632"/>
      <c r="II632"/>
      <c r="IJ632"/>
      <c r="IK632"/>
      <c r="IL632"/>
      <c r="IM632"/>
      <c r="IN632"/>
      <c r="IO632"/>
      <c r="IP632"/>
      <c r="IQ632"/>
      <c r="IR632"/>
      <c r="IS632"/>
      <c r="IT632"/>
      <c r="IU632"/>
      <c r="IV632"/>
      <c r="IW632"/>
      <c r="IX632"/>
      <c r="IY632"/>
      <c r="IZ632"/>
      <c r="JA632"/>
      <c r="JB632"/>
      <c r="JC632"/>
      <c r="JD632"/>
      <c r="JE632"/>
      <c r="JF632"/>
      <c r="JG632"/>
      <c r="JH632"/>
      <c r="JI632"/>
      <c r="JJ632"/>
      <c r="JK632"/>
      <c r="JL632"/>
      <c r="JM632"/>
      <c r="JN632"/>
      <c r="JO632"/>
      <c r="JP632"/>
      <c r="JQ632"/>
      <c r="JR632"/>
      <c r="JS632"/>
      <c r="JT632"/>
      <c r="JU632"/>
      <c r="JV632"/>
      <c r="JW632"/>
      <c r="JX632"/>
      <c r="JY632"/>
      <c r="JZ632"/>
      <c r="KA632"/>
      <c r="KB632"/>
      <c r="KC632"/>
      <c r="KD632"/>
      <c r="KE632"/>
      <c r="KF632"/>
      <c r="KG632"/>
      <c r="KH632"/>
      <c r="KI632"/>
      <c r="KJ632"/>
      <c r="KK632"/>
      <c r="KL632"/>
      <c r="KM632"/>
      <c r="KN632"/>
      <c r="KO632"/>
      <c r="KP632"/>
      <c r="KQ632"/>
      <c r="KR632"/>
      <c r="KS632"/>
    </row>
    <row r="633" spans="2:305" hidden="1" x14ac:dyDescent="0.25">
      <c r="B633"/>
      <c r="C633"/>
      <c r="D633"/>
      <c r="E633"/>
      <c r="F633"/>
      <c r="G633"/>
      <c r="H633"/>
      <c r="I633"/>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M633"/>
      <c r="CN633"/>
      <c r="CO633"/>
      <c r="CP633"/>
      <c r="CQ633"/>
      <c r="CR633"/>
      <c r="CS633"/>
      <c r="CT633"/>
      <c r="CU633"/>
      <c r="CV633"/>
      <c r="CW633"/>
      <c r="CX633"/>
      <c r="CY633"/>
      <c r="CZ633"/>
      <c r="DA633"/>
      <c r="DB633"/>
      <c r="DC633"/>
      <c r="DD633"/>
      <c r="DE633"/>
      <c r="DF633"/>
      <c r="DG633"/>
      <c r="DH633"/>
      <c r="DI633"/>
      <c r="DJ633"/>
      <c r="DK633"/>
      <c r="DL633"/>
      <c r="DM633"/>
      <c r="DN633"/>
      <c r="DO633"/>
      <c r="DP633"/>
      <c r="DQ633"/>
      <c r="DR633"/>
      <c r="DS633"/>
      <c r="DT633"/>
      <c r="DU633"/>
      <c r="DV633"/>
      <c r="DW633"/>
      <c r="DX633"/>
      <c r="DY633"/>
      <c r="DZ633"/>
      <c r="EA633"/>
      <c r="EB633"/>
      <c r="EC633"/>
      <c r="ED633"/>
      <c r="EE633"/>
      <c r="EF633"/>
      <c r="EG633"/>
      <c r="EH633"/>
      <c r="EI633"/>
      <c r="EJ633"/>
      <c r="EK633"/>
      <c r="EL633"/>
      <c r="EM633"/>
      <c r="EN633"/>
      <c r="EO633"/>
      <c r="EP633"/>
      <c r="EQ633"/>
      <c r="ER633"/>
      <c r="ES633"/>
      <c r="ET633"/>
      <c r="EU633"/>
      <c r="EV633"/>
      <c r="EW633"/>
      <c r="EX633"/>
      <c r="EY633"/>
      <c r="EZ633"/>
      <c r="FA633"/>
      <c r="FB633"/>
      <c r="FC633"/>
      <c r="FD633"/>
      <c r="FE633"/>
      <c r="FF633"/>
      <c r="FG633"/>
      <c r="FH633"/>
      <c r="FI633"/>
      <c r="FJ633"/>
      <c r="FK633"/>
      <c r="FL633"/>
      <c r="FM633"/>
      <c r="FN633"/>
      <c r="FO633"/>
      <c r="FP633"/>
      <c r="FQ633"/>
      <c r="FR633"/>
      <c r="FS633"/>
      <c r="FT633"/>
      <c r="FU633"/>
      <c r="FV633"/>
      <c r="FW633"/>
      <c r="FX633"/>
      <c r="FY633"/>
      <c r="FZ633"/>
      <c r="GA633"/>
      <c r="GB633"/>
      <c r="GC633"/>
      <c r="GD633"/>
      <c r="GE633"/>
      <c r="GF633"/>
      <c r="GG633"/>
      <c r="GH633"/>
      <c r="GI633"/>
      <c r="GJ633"/>
      <c r="GK633"/>
      <c r="GL633"/>
      <c r="GM633"/>
      <c r="GN633"/>
      <c r="GO633"/>
      <c r="GP633"/>
      <c r="GQ633"/>
      <c r="GR633"/>
      <c r="GS633"/>
      <c r="GT633"/>
      <c r="GU633"/>
      <c r="GV633"/>
      <c r="GW633"/>
      <c r="GX633"/>
      <c r="GY633"/>
      <c r="GZ633"/>
      <c r="HA633"/>
      <c r="HB633"/>
      <c r="HC633"/>
      <c r="HD633"/>
      <c r="HE633"/>
      <c r="HF633"/>
      <c r="HG633"/>
      <c r="HH633"/>
      <c r="HI633"/>
      <c r="HJ633"/>
      <c r="HK633"/>
      <c r="HL633"/>
      <c r="HM633"/>
      <c r="HN633"/>
      <c r="HO633"/>
      <c r="HP633"/>
      <c r="HQ633"/>
      <c r="HR633"/>
      <c r="HS633"/>
      <c r="HT633"/>
      <c r="HU633"/>
      <c r="HV633"/>
      <c r="HW633"/>
      <c r="HX633"/>
      <c r="HY633"/>
      <c r="HZ633"/>
      <c r="IA633"/>
      <c r="IB633"/>
      <c r="IC633"/>
      <c r="ID633"/>
      <c r="IE633"/>
      <c r="IF633"/>
      <c r="IG633"/>
      <c r="IH633"/>
      <c r="II633"/>
      <c r="IJ633"/>
      <c r="IK633"/>
      <c r="IL633"/>
      <c r="IM633"/>
      <c r="IN633"/>
      <c r="IO633"/>
      <c r="IP633"/>
      <c r="IQ633"/>
      <c r="IR633"/>
      <c r="IS633"/>
      <c r="IT633"/>
      <c r="IU633"/>
      <c r="IV633"/>
      <c r="IW633"/>
      <c r="IX633"/>
      <c r="IY633"/>
      <c r="IZ633"/>
      <c r="JA633"/>
      <c r="JB633"/>
      <c r="JC633"/>
      <c r="JD633"/>
      <c r="JE633"/>
      <c r="JF633"/>
      <c r="JG633"/>
      <c r="JH633"/>
      <c r="JI633"/>
      <c r="JJ633"/>
      <c r="JK633"/>
      <c r="JL633"/>
      <c r="JM633"/>
      <c r="JN633"/>
      <c r="JO633"/>
      <c r="JP633"/>
      <c r="JQ633"/>
      <c r="JR633"/>
      <c r="JS633"/>
      <c r="JT633"/>
      <c r="JU633"/>
      <c r="JV633"/>
      <c r="JW633"/>
      <c r="JX633"/>
      <c r="JY633"/>
      <c r="JZ633"/>
      <c r="KA633"/>
      <c r="KB633"/>
      <c r="KC633"/>
      <c r="KD633"/>
      <c r="KE633"/>
      <c r="KF633"/>
      <c r="KG633"/>
      <c r="KH633"/>
      <c r="KI633"/>
      <c r="KJ633"/>
      <c r="KK633"/>
      <c r="KL633"/>
      <c r="KM633"/>
      <c r="KN633"/>
      <c r="KO633"/>
      <c r="KP633"/>
      <c r="KQ633"/>
      <c r="KR633"/>
      <c r="KS633"/>
    </row>
    <row r="634" spans="2:305" hidden="1" x14ac:dyDescent="0.25">
      <c r="B634"/>
      <c r="C634"/>
      <c r="D634"/>
      <c r="E634"/>
      <c r="F634"/>
      <c r="G634"/>
      <c r="H634"/>
      <c r="I634"/>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M634"/>
      <c r="CN634"/>
      <c r="CO634"/>
      <c r="CP634"/>
      <c r="CQ634"/>
      <c r="CR634"/>
      <c r="CS634"/>
      <c r="CT634"/>
      <c r="CU634"/>
      <c r="CV634"/>
      <c r="CW634"/>
      <c r="CX634"/>
      <c r="CY634"/>
      <c r="CZ634"/>
      <c r="DA634"/>
      <c r="DB634"/>
      <c r="DC634"/>
      <c r="DD634"/>
      <c r="DE634"/>
      <c r="DF634"/>
      <c r="DG634"/>
      <c r="DH634"/>
      <c r="DI634"/>
      <c r="DJ634"/>
      <c r="DK634"/>
      <c r="DL634"/>
      <c r="DM634"/>
      <c r="DN634"/>
      <c r="DO634"/>
      <c r="DP634"/>
      <c r="DQ634"/>
      <c r="DR634"/>
      <c r="DS634"/>
      <c r="DT634"/>
      <c r="DU634"/>
      <c r="DV634"/>
      <c r="DW634"/>
      <c r="DX634"/>
      <c r="DY634"/>
      <c r="DZ634"/>
      <c r="EA634"/>
      <c r="EB634"/>
      <c r="EC634"/>
      <c r="ED634"/>
      <c r="EE634"/>
      <c r="EF634"/>
      <c r="EG634"/>
      <c r="EH634"/>
      <c r="EI634"/>
      <c r="EJ634"/>
      <c r="EK634"/>
      <c r="EL634"/>
      <c r="EM634"/>
      <c r="EN634"/>
      <c r="EO634"/>
      <c r="EP634"/>
      <c r="EQ634"/>
      <c r="ER634"/>
      <c r="ES634"/>
      <c r="ET634"/>
      <c r="EU634"/>
      <c r="EV634"/>
      <c r="EW634"/>
      <c r="EX634"/>
      <c r="EY634"/>
      <c r="EZ634"/>
      <c r="FA634"/>
      <c r="FB634"/>
      <c r="FC634"/>
      <c r="FD634"/>
      <c r="FE634"/>
      <c r="FF634"/>
      <c r="FG634"/>
      <c r="FH634"/>
      <c r="FI634"/>
      <c r="FJ634"/>
      <c r="FK634"/>
      <c r="FL634"/>
      <c r="FM634"/>
      <c r="FN634"/>
      <c r="FO634"/>
      <c r="FP634"/>
      <c r="FQ634"/>
      <c r="FR634"/>
      <c r="FS634"/>
      <c r="FT634"/>
      <c r="FU634"/>
      <c r="FV634"/>
      <c r="FW634"/>
      <c r="FX634"/>
      <c r="FY634"/>
      <c r="FZ634"/>
      <c r="GA634"/>
      <c r="GB634"/>
      <c r="GC634"/>
      <c r="GD634"/>
      <c r="GE634"/>
      <c r="GF634"/>
      <c r="GG634"/>
      <c r="GH634"/>
      <c r="GI634"/>
      <c r="GJ634"/>
      <c r="GK634"/>
      <c r="GL634"/>
      <c r="GM634"/>
      <c r="GN634"/>
      <c r="GO634"/>
      <c r="GP634"/>
      <c r="GQ634"/>
      <c r="GR634"/>
      <c r="GS634"/>
      <c r="GT634"/>
      <c r="GU634"/>
      <c r="GV634"/>
      <c r="GW634"/>
      <c r="GX634"/>
      <c r="GY634"/>
      <c r="GZ634"/>
      <c r="HA634"/>
      <c r="HB634"/>
      <c r="HC634"/>
      <c r="HD634"/>
      <c r="HE634"/>
      <c r="HF634"/>
      <c r="HG634"/>
      <c r="HH634"/>
      <c r="HI634"/>
      <c r="HJ634"/>
      <c r="HK634"/>
      <c r="HL634"/>
      <c r="HM634"/>
      <c r="HN634"/>
      <c r="HO634"/>
      <c r="HP634"/>
      <c r="HQ634"/>
      <c r="HR634"/>
      <c r="HS634"/>
      <c r="HT634"/>
      <c r="HU634"/>
      <c r="HV634"/>
      <c r="HW634"/>
      <c r="HX634"/>
      <c r="HY634"/>
      <c r="HZ634"/>
      <c r="IA634"/>
      <c r="IB634"/>
      <c r="IC634"/>
      <c r="ID634"/>
      <c r="IE634"/>
      <c r="IF634"/>
      <c r="IG634"/>
      <c r="IH634"/>
      <c r="II634"/>
      <c r="IJ634"/>
      <c r="IK634"/>
      <c r="IL634"/>
      <c r="IM634"/>
      <c r="IN634"/>
      <c r="IO634"/>
      <c r="IP634"/>
      <c r="IQ634"/>
      <c r="IR634"/>
      <c r="IS634"/>
      <c r="IT634"/>
      <c r="IU634"/>
      <c r="IV634"/>
      <c r="IW634"/>
      <c r="IX634"/>
      <c r="IY634"/>
      <c r="IZ634"/>
      <c r="JA634"/>
      <c r="JB634"/>
      <c r="JC634"/>
      <c r="JD634"/>
      <c r="JE634"/>
      <c r="JF634"/>
      <c r="JG634"/>
      <c r="JH634"/>
      <c r="JI634"/>
      <c r="JJ634"/>
      <c r="JK634"/>
      <c r="JL634"/>
      <c r="JM634"/>
      <c r="JN634"/>
      <c r="JO634"/>
      <c r="JP634"/>
      <c r="JQ634"/>
      <c r="JR634"/>
      <c r="JS634"/>
      <c r="JT634"/>
      <c r="JU634"/>
      <c r="JV634"/>
      <c r="JW634"/>
      <c r="JX634"/>
      <c r="JY634"/>
      <c r="JZ634"/>
      <c r="KA634"/>
      <c r="KB634"/>
      <c r="KC634"/>
      <c r="KD634"/>
      <c r="KE634"/>
      <c r="KF634"/>
      <c r="KG634"/>
      <c r="KH634"/>
      <c r="KI634"/>
      <c r="KJ634"/>
      <c r="KK634"/>
      <c r="KL634"/>
      <c r="KM634"/>
      <c r="KN634"/>
      <c r="KO634"/>
      <c r="KP634"/>
      <c r="KQ634"/>
      <c r="KR634"/>
      <c r="KS634"/>
    </row>
    <row r="635" spans="2:305" hidden="1" x14ac:dyDescent="0.25">
      <c r="B635"/>
      <c r="C635"/>
      <c r="D635"/>
      <c r="E635"/>
      <c r="F635"/>
      <c r="G635"/>
      <c r="H635"/>
      <c r="I635"/>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M635"/>
      <c r="CN635"/>
      <c r="CO635"/>
      <c r="CP635"/>
      <c r="CQ635"/>
      <c r="CR635"/>
      <c r="CS635"/>
      <c r="CT635"/>
      <c r="CU635"/>
      <c r="CV635"/>
      <c r="CW635"/>
      <c r="CX635"/>
      <c r="CY635"/>
      <c r="CZ635"/>
      <c r="DA635"/>
      <c r="DB635"/>
      <c r="DC635"/>
      <c r="DD635"/>
      <c r="DE635"/>
      <c r="DF635"/>
      <c r="DG635"/>
      <c r="DH635"/>
      <c r="DI635"/>
      <c r="DJ635"/>
      <c r="DK635"/>
      <c r="DL635"/>
      <c r="DM635"/>
      <c r="DN635"/>
      <c r="DO635"/>
      <c r="DP635"/>
      <c r="DQ635"/>
      <c r="DR635"/>
      <c r="DS635"/>
      <c r="DT635"/>
      <c r="DU635"/>
      <c r="DV635"/>
      <c r="DW635"/>
      <c r="DX635"/>
      <c r="DY635"/>
      <c r="DZ635"/>
      <c r="EA635"/>
      <c r="EB635"/>
      <c r="EC635"/>
      <c r="ED635"/>
      <c r="EE635"/>
      <c r="EF635"/>
      <c r="EG635"/>
      <c r="EH635"/>
      <c r="EI635"/>
      <c r="EJ635"/>
      <c r="EK635"/>
      <c r="EL635"/>
      <c r="EM635"/>
      <c r="EN635"/>
      <c r="EO635"/>
      <c r="EP635"/>
      <c r="EQ635"/>
      <c r="ER635"/>
      <c r="ES635"/>
      <c r="ET635"/>
      <c r="EU635"/>
      <c r="EV635"/>
      <c r="EW635"/>
      <c r="EX635"/>
      <c r="EY635"/>
      <c r="EZ635"/>
      <c r="FA635"/>
      <c r="FB635"/>
      <c r="FC635"/>
      <c r="FD635"/>
      <c r="FE635"/>
      <c r="FF635"/>
      <c r="FG635"/>
      <c r="FH635"/>
      <c r="FI635"/>
      <c r="FJ635"/>
      <c r="FK635"/>
      <c r="FL635"/>
      <c r="FM635"/>
      <c r="FN635"/>
      <c r="FO635"/>
      <c r="FP635"/>
      <c r="FQ635"/>
      <c r="FR635"/>
      <c r="FS635"/>
      <c r="FT635"/>
      <c r="FU635"/>
      <c r="FV635"/>
      <c r="FW635"/>
      <c r="FX635"/>
      <c r="FY635"/>
      <c r="FZ635"/>
      <c r="GA635"/>
      <c r="GB635"/>
      <c r="GC635"/>
      <c r="GD635"/>
      <c r="GE635"/>
      <c r="GF635"/>
      <c r="GG635"/>
      <c r="GH635"/>
      <c r="GI635"/>
      <c r="GJ635"/>
      <c r="GK635"/>
      <c r="GL635"/>
      <c r="GM635"/>
      <c r="GN635"/>
      <c r="GO635"/>
      <c r="GP635"/>
      <c r="GQ635"/>
      <c r="GR635"/>
      <c r="GS635"/>
      <c r="GT635"/>
      <c r="GU635"/>
      <c r="GV635"/>
      <c r="GW635"/>
      <c r="GX635"/>
      <c r="GY635"/>
      <c r="GZ635"/>
      <c r="HA635"/>
      <c r="HB635"/>
      <c r="HC635"/>
      <c r="HD635"/>
      <c r="HE635"/>
      <c r="HF635"/>
      <c r="HG635"/>
      <c r="HH635"/>
      <c r="HI635"/>
      <c r="HJ635"/>
      <c r="HK635"/>
      <c r="HL635"/>
      <c r="HM635"/>
      <c r="HN635"/>
      <c r="HO635"/>
      <c r="HP635"/>
      <c r="HQ635"/>
      <c r="HR635"/>
      <c r="HS635"/>
      <c r="HT635"/>
      <c r="HU635"/>
      <c r="HV635"/>
      <c r="HW635"/>
      <c r="HX635"/>
      <c r="HY635"/>
      <c r="HZ635"/>
      <c r="IA635"/>
      <c r="IB635"/>
      <c r="IC635"/>
      <c r="ID635"/>
      <c r="IE635"/>
      <c r="IF635"/>
      <c r="IG635"/>
      <c r="IH635"/>
      <c r="II635"/>
      <c r="IJ635"/>
      <c r="IK635"/>
      <c r="IL635"/>
      <c r="IM635"/>
      <c r="IN635"/>
      <c r="IO635"/>
      <c r="IP635"/>
      <c r="IQ635"/>
      <c r="IR635"/>
      <c r="IS635"/>
      <c r="IT635"/>
      <c r="IU635"/>
      <c r="IV635"/>
      <c r="IW635"/>
      <c r="IX635"/>
      <c r="IY635"/>
      <c r="IZ635"/>
      <c r="JA635"/>
      <c r="JB635"/>
      <c r="JC635"/>
      <c r="JD635"/>
      <c r="JE635"/>
      <c r="JF635"/>
      <c r="JG635"/>
      <c r="JH635"/>
      <c r="JI635"/>
      <c r="JJ635"/>
      <c r="JK635"/>
      <c r="JL635"/>
      <c r="JM635"/>
      <c r="JN635"/>
      <c r="JO635"/>
      <c r="JP635"/>
      <c r="JQ635"/>
      <c r="JR635"/>
      <c r="JS635"/>
      <c r="JT635"/>
      <c r="JU635"/>
      <c r="JV635"/>
      <c r="JW635"/>
      <c r="JX635"/>
      <c r="JY635"/>
      <c r="JZ635"/>
      <c r="KA635"/>
      <c r="KB635"/>
      <c r="KC635"/>
      <c r="KD635"/>
      <c r="KE635"/>
      <c r="KF635"/>
      <c r="KG635"/>
      <c r="KH635"/>
      <c r="KI635"/>
      <c r="KJ635"/>
      <c r="KK635"/>
      <c r="KL635"/>
      <c r="KM635"/>
      <c r="KN635"/>
      <c r="KO635"/>
      <c r="KP635"/>
      <c r="KQ635"/>
      <c r="KR635"/>
      <c r="KS635"/>
    </row>
    <row r="636" spans="2:305" hidden="1" x14ac:dyDescent="0.25">
      <c r="B636"/>
      <c r="C636"/>
      <c r="D636"/>
      <c r="E636"/>
      <c r="F636"/>
      <c r="G636"/>
      <c r="H636"/>
      <c r="I636"/>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M636"/>
      <c r="CN636"/>
      <c r="CO636"/>
      <c r="CP636"/>
      <c r="CQ636"/>
      <c r="CR636"/>
      <c r="CS636"/>
      <c r="CT636"/>
      <c r="CU636"/>
      <c r="CV636"/>
      <c r="CW636"/>
      <c r="CX636"/>
      <c r="CY636"/>
      <c r="CZ636"/>
      <c r="DA636"/>
      <c r="DB636"/>
      <c r="DC636"/>
      <c r="DD636"/>
      <c r="DE636"/>
      <c r="DF636"/>
      <c r="DG636"/>
      <c r="DH636"/>
      <c r="DI636"/>
      <c r="DJ636"/>
      <c r="DK636"/>
      <c r="DL636"/>
      <c r="DM636"/>
      <c r="DN636"/>
      <c r="DO636"/>
      <c r="DP636"/>
      <c r="DQ636"/>
      <c r="DR636"/>
      <c r="DS636"/>
      <c r="DT636"/>
      <c r="DU636"/>
      <c r="DV636"/>
      <c r="DW636"/>
      <c r="DX636"/>
      <c r="DY636"/>
      <c r="DZ636"/>
      <c r="EA636"/>
      <c r="EB636"/>
      <c r="EC636"/>
      <c r="ED636"/>
      <c r="EE636"/>
      <c r="EF636"/>
      <c r="EG636"/>
      <c r="EH636"/>
      <c r="EI636"/>
      <c r="EJ636"/>
      <c r="EK636"/>
      <c r="EL636"/>
      <c r="EM636"/>
      <c r="EN636"/>
      <c r="EO636"/>
      <c r="EP636"/>
      <c r="EQ636"/>
      <c r="ER636"/>
      <c r="ES636"/>
      <c r="ET636"/>
      <c r="EU636"/>
      <c r="EV636"/>
      <c r="EW636"/>
      <c r="EX636"/>
      <c r="EY636"/>
      <c r="EZ636"/>
      <c r="FA636"/>
      <c r="FB636"/>
      <c r="FC636"/>
      <c r="FD636"/>
      <c r="FE636"/>
      <c r="FF636"/>
      <c r="FG636"/>
      <c r="FH636"/>
      <c r="FI636"/>
      <c r="FJ636"/>
      <c r="FK636"/>
      <c r="FL636"/>
      <c r="FM636"/>
      <c r="FN636"/>
      <c r="FO636"/>
      <c r="FP636"/>
      <c r="FQ636"/>
      <c r="FR636"/>
      <c r="FS636"/>
      <c r="FT636"/>
      <c r="FU636"/>
      <c r="FV636"/>
      <c r="FW636"/>
      <c r="FX636"/>
      <c r="FY636"/>
      <c r="FZ636"/>
      <c r="GA636"/>
      <c r="GB636"/>
      <c r="GC636"/>
      <c r="GD636"/>
      <c r="GE636"/>
      <c r="GF636"/>
      <c r="GG636"/>
      <c r="GH636"/>
      <c r="GI636"/>
      <c r="GJ636"/>
      <c r="GK636"/>
      <c r="GL636"/>
      <c r="GM636"/>
      <c r="GN636"/>
      <c r="GO636"/>
      <c r="GP636"/>
      <c r="GQ636"/>
      <c r="GR636"/>
      <c r="GS636"/>
      <c r="GT636"/>
      <c r="GU636"/>
      <c r="GV636"/>
      <c r="GW636"/>
      <c r="GX636"/>
      <c r="GY636"/>
      <c r="GZ636"/>
      <c r="HA636"/>
      <c r="HB636"/>
      <c r="HC636"/>
      <c r="HD636"/>
      <c r="HE636"/>
      <c r="HF636"/>
      <c r="HG636"/>
      <c r="HH636"/>
      <c r="HI636"/>
      <c r="HJ636"/>
      <c r="HK636"/>
      <c r="HL636"/>
      <c r="HM636"/>
      <c r="HN636"/>
      <c r="HO636"/>
      <c r="HP636"/>
      <c r="HQ636"/>
      <c r="HR636"/>
      <c r="HS636"/>
      <c r="HT636"/>
      <c r="HU636"/>
      <c r="HV636"/>
      <c r="HW636"/>
      <c r="HX636"/>
      <c r="HY636"/>
      <c r="HZ636"/>
      <c r="IA636"/>
      <c r="IB636"/>
      <c r="IC636"/>
      <c r="ID636"/>
      <c r="IE636"/>
      <c r="IF636"/>
      <c r="IG636"/>
      <c r="IH636"/>
      <c r="II636"/>
      <c r="IJ636"/>
      <c r="IK636"/>
      <c r="IL636"/>
      <c r="IM636"/>
      <c r="IN636"/>
      <c r="IO636"/>
      <c r="IP636"/>
      <c r="IQ636"/>
      <c r="IR636"/>
      <c r="IS636"/>
      <c r="IT636"/>
      <c r="IU636"/>
      <c r="IV636"/>
      <c r="IW636"/>
      <c r="IX636"/>
      <c r="IY636"/>
      <c r="IZ636"/>
      <c r="JA636"/>
      <c r="JB636"/>
      <c r="JC636"/>
      <c r="JD636"/>
      <c r="JE636"/>
      <c r="JF636"/>
      <c r="JG636"/>
      <c r="JH636"/>
      <c r="JI636"/>
      <c r="JJ636"/>
      <c r="JK636"/>
      <c r="JL636"/>
      <c r="JM636"/>
      <c r="JN636"/>
      <c r="JO636"/>
      <c r="JP636"/>
      <c r="JQ636"/>
      <c r="JR636"/>
      <c r="JS636"/>
      <c r="JT636"/>
      <c r="JU636"/>
      <c r="JV636"/>
      <c r="JW636"/>
      <c r="JX636"/>
      <c r="JY636"/>
      <c r="JZ636"/>
      <c r="KA636"/>
      <c r="KB636"/>
      <c r="KC636"/>
      <c r="KD636"/>
      <c r="KE636"/>
      <c r="KF636"/>
      <c r="KG636"/>
      <c r="KH636"/>
      <c r="KI636"/>
      <c r="KJ636"/>
      <c r="KK636"/>
      <c r="KL636"/>
      <c r="KM636"/>
      <c r="KN636"/>
      <c r="KO636"/>
      <c r="KP636"/>
      <c r="KQ636"/>
      <c r="KR636"/>
      <c r="KS636"/>
    </row>
  </sheetData>
  <mergeCells count="2">
    <mergeCell ref="A5:A6"/>
    <mergeCell ref="B5:B6"/>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Perform_Analysis">
              <controlPr defaultSize="0" print="0" autoFill="0" autoPict="0" macro="[0]!Tabelle8.performresupplyanalysis">
                <anchor moveWithCells="1" sizeWithCells="1">
                  <from>
                    <xdr:col>2</xdr:col>
                    <xdr:colOff>600075</xdr:colOff>
                    <xdr:row>4</xdr:row>
                    <xdr:rowOff>28575</xdr:rowOff>
                  </from>
                  <to>
                    <xdr:col>4</xdr:col>
                    <xdr:colOff>333375</xdr:colOff>
                    <xdr:row>6</xdr:row>
                    <xdr:rowOff>9525</xdr:rowOff>
                  </to>
                </anchor>
              </controlPr>
            </control>
          </mc:Choice>
        </mc:AlternateContent>
        <mc:AlternateContent xmlns:mc="http://schemas.openxmlformats.org/markup-compatibility/2006">
          <mc:Choice Requires="x14">
            <control shapeId="44034" r:id="rId5" name="Plot_Resupply_matrix">
              <controlPr defaultSize="0" print="0" autoFill="0" autoPict="0" macro="[0]!Tabelle8.plotresupplymatrix">
                <anchor moveWithCells="1" sizeWithCells="1">
                  <from>
                    <xdr:col>2</xdr:col>
                    <xdr:colOff>600075</xdr:colOff>
                    <xdr:row>9</xdr:row>
                    <xdr:rowOff>0</xdr:rowOff>
                  </from>
                  <to>
                    <xdr:col>4</xdr:col>
                    <xdr:colOff>333375</xdr:colOff>
                    <xdr:row>9</xdr:row>
                    <xdr:rowOff>352425</xdr:rowOff>
                  </to>
                </anchor>
              </controlPr>
            </control>
          </mc:Choice>
        </mc:AlternateContent>
        <mc:AlternateContent xmlns:mc="http://schemas.openxmlformats.org/markup-compatibility/2006">
          <mc:Choice Requires="x14">
            <control shapeId="44036" r:id="rId6" name="Addpayload">
              <controlPr defaultSize="0" print="0" autoFill="0" autoPict="0" macro="[0]!showaddpaylaod">
                <anchor moveWithCells="1" sizeWithCells="1">
                  <from>
                    <xdr:col>2</xdr:col>
                    <xdr:colOff>600075</xdr:colOff>
                    <xdr:row>7</xdr:row>
                    <xdr:rowOff>28575</xdr:rowOff>
                  </from>
                  <to>
                    <xdr:col>4</xdr:col>
                    <xdr:colOff>333375</xdr:colOff>
                    <xdr:row>8</xdr:row>
                    <xdr:rowOff>9525</xdr:rowOff>
                  </to>
                </anchor>
              </controlPr>
            </control>
          </mc:Choice>
        </mc:AlternateContent>
        <mc:AlternateContent xmlns:mc="http://schemas.openxmlformats.org/markup-compatibility/2006">
          <mc:Choice Requires="x14">
            <control shapeId="44038" r:id="rId7" name="Button 6">
              <controlPr defaultSize="0" print="0" autoFill="0" autoPict="0" macro="[0]!Tabelle8.showinstruction">
                <anchor moveWithCells="1" sizeWithCells="1">
                  <from>
                    <xdr:col>0</xdr:col>
                    <xdr:colOff>28575</xdr:colOff>
                    <xdr:row>7</xdr:row>
                    <xdr:rowOff>28575</xdr:rowOff>
                  </from>
                  <to>
                    <xdr:col>1</xdr:col>
                    <xdr:colOff>600075</xdr:colOff>
                    <xdr:row>8</xdr:row>
                    <xdr:rowOff>9525</xdr:rowOff>
                  </to>
                </anchor>
              </controlPr>
            </control>
          </mc:Choice>
        </mc:AlternateContent>
        <mc:AlternateContent xmlns:mc="http://schemas.openxmlformats.org/markup-compatibility/2006">
          <mc:Choice Requires="x14">
            <control shapeId="44039" r:id="rId8" name="Button 7">
              <controlPr defaultSize="0" print="0" autoFill="0" autoPict="0" macro="[0]!Tabelle8.hideinstruction">
                <anchor moveWithCells="1" sizeWithCells="1">
                  <from>
                    <xdr:col>0</xdr:col>
                    <xdr:colOff>28575</xdr:colOff>
                    <xdr:row>8</xdr:row>
                    <xdr:rowOff>28575</xdr:rowOff>
                  </from>
                  <to>
                    <xdr:col>1</xdr:col>
                    <xdr:colOff>600075</xdr:colOff>
                    <xdr:row>9</xdr:row>
                    <xdr:rowOff>9525</xdr:rowOff>
                  </to>
                </anchor>
              </controlPr>
            </control>
          </mc:Choice>
        </mc:AlternateContent>
        <mc:AlternateContent xmlns:mc="http://schemas.openxmlformats.org/markup-compatibility/2006">
          <mc:Choice Requires="x14">
            <control shapeId="44040" r:id="rId9" name="Initial_Consumables">
              <controlPr defaultSize="0" print="0" autoFill="0" autoPict="0" macro="[0]!iniconsumables">
                <anchor moveWithCells="1" sizeWithCells="1">
                  <from>
                    <xdr:col>2</xdr:col>
                    <xdr:colOff>600075</xdr:colOff>
                    <xdr:row>6</xdr:row>
                    <xdr:rowOff>28575</xdr:rowOff>
                  </from>
                  <to>
                    <xdr:col>4</xdr:col>
                    <xdr:colOff>333375</xdr:colOff>
                    <xdr:row>7</xdr:row>
                    <xdr:rowOff>9525</xdr:rowOff>
                  </to>
                </anchor>
              </controlPr>
            </control>
          </mc:Choice>
        </mc:AlternateContent>
        <mc:AlternateContent xmlns:mc="http://schemas.openxmlformats.org/markup-compatibility/2006">
          <mc:Choice Requires="x14">
            <control shapeId="44042" r:id="rId10" name="Check_Box_Crew">
              <controlPr defaultSize="0" autoFill="0" autoLine="0" autoPict="0">
                <anchor moveWithCells="1">
                  <from>
                    <xdr:col>2</xdr:col>
                    <xdr:colOff>600075</xdr:colOff>
                    <xdr:row>1</xdr:row>
                    <xdr:rowOff>180975</xdr:rowOff>
                  </from>
                  <to>
                    <xdr:col>2</xdr:col>
                    <xdr:colOff>838200</xdr:colOff>
                    <xdr:row>3</xdr:row>
                    <xdr:rowOff>28575</xdr:rowOff>
                  </to>
                </anchor>
              </controlPr>
            </control>
          </mc:Choice>
        </mc:AlternateContent>
        <mc:AlternateContent xmlns:mc="http://schemas.openxmlformats.org/markup-compatibility/2006">
          <mc:Choice Requires="x14">
            <control shapeId="44043" r:id="rId11" name="Button 11">
              <controlPr defaultSize="0" print="0" autoFill="0" autoPict="0" macro="[0]!Tabelle8.adjustSupply">
                <anchor moveWithCells="1" sizeWithCells="1">
                  <from>
                    <xdr:col>2</xdr:col>
                    <xdr:colOff>600075</xdr:colOff>
                    <xdr:row>8</xdr:row>
                    <xdr:rowOff>28575</xdr:rowOff>
                  </from>
                  <to>
                    <xdr:col>4</xdr:col>
                    <xdr:colOff>333375</xdr:colOff>
                    <xdr:row>9</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pageSetUpPr fitToPage="1"/>
  </sheetPr>
  <dimension ref="A1:BQ1048575"/>
  <sheetViews>
    <sheetView showGridLines="0" zoomScale="85" zoomScaleNormal="85" workbookViewId="0"/>
  </sheetViews>
  <sheetFormatPr defaultColWidth="0" defaultRowHeight="15" zeroHeight="1" x14ac:dyDescent="0.25"/>
  <cols>
    <col min="1" max="1" width="16.42578125" bestFit="1" customWidth="1"/>
    <col min="2" max="2" width="14.85546875" bestFit="1" customWidth="1"/>
    <col min="3" max="12" width="14.85546875" customWidth="1"/>
    <col min="13" max="13" width="26.5703125" customWidth="1"/>
    <col min="14" max="14" width="24.42578125" bestFit="1" customWidth="1"/>
    <col min="15" max="15" width="11.5703125" customWidth="1"/>
    <col min="16" max="16" width="13.42578125" bestFit="1" customWidth="1"/>
    <col min="17" max="19" width="11.5703125" customWidth="1"/>
    <col min="20" max="20" width="13.140625" customWidth="1"/>
    <col min="21" max="23" width="12.5703125" customWidth="1"/>
    <col min="24" max="24" width="13" customWidth="1"/>
    <col min="25" max="32" width="11.5703125" customWidth="1"/>
    <col min="33" max="38" width="14.85546875" hidden="1" customWidth="1"/>
    <col min="39" max="39" width="9.140625" hidden="1" customWidth="1"/>
    <col min="40" max="43" width="14.85546875" hidden="1" customWidth="1"/>
    <col min="44" max="44" width="6.5703125" hidden="1" customWidth="1"/>
    <col min="45" max="45" width="9.140625" hidden="1" customWidth="1"/>
    <col min="46" max="48" width="14.85546875" hidden="1" customWidth="1"/>
    <col min="49" max="49" width="5.140625" hidden="1" customWidth="1"/>
    <col min="50" max="50" width="6.5703125" hidden="1" customWidth="1"/>
    <col min="51" max="51" width="9.140625" hidden="1" customWidth="1"/>
    <col min="52" max="53" width="14.85546875" hidden="1" customWidth="1"/>
    <col min="54" max="54" width="7" hidden="1" customWidth="1"/>
    <col min="55" max="55" width="5.140625" hidden="1" customWidth="1"/>
    <col min="56" max="56" width="6.5703125" hidden="1" customWidth="1"/>
    <col min="57" max="57" width="9.140625" hidden="1" customWidth="1"/>
    <col min="58" max="58" width="14.85546875" hidden="1" customWidth="1"/>
    <col min="59" max="59" width="4.5703125" hidden="1" customWidth="1"/>
    <col min="60" max="60" width="7" hidden="1" customWidth="1"/>
    <col min="61" max="61" width="5.140625" hidden="1" customWidth="1"/>
    <col min="62" max="62" width="6.5703125" hidden="1" customWidth="1"/>
    <col min="63" max="63" width="9.140625" hidden="1" customWidth="1"/>
    <col min="64" max="64" width="14.85546875" hidden="1" customWidth="1"/>
    <col min="65" max="65" width="4.5703125" hidden="1" customWidth="1"/>
    <col min="66" max="66" width="7" hidden="1" customWidth="1"/>
    <col min="67" max="67" width="5.140625" hidden="1" customWidth="1"/>
    <col min="68" max="68" width="6.5703125" hidden="1" customWidth="1"/>
    <col min="69" max="69" width="0" hidden="1" customWidth="1"/>
    <col min="70" max="16384" width="11.5703125" hidden="1"/>
  </cols>
  <sheetData>
    <row r="1" spans="1:69" ht="74.45" customHeight="1" x14ac:dyDescent="0.25">
      <c r="A1" s="144" t="s">
        <v>2007</v>
      </c>
      <c r="B1" s="137"/>
      <c r="C1" s="137"/>
      <c r="D1" s="137"/>
      <c r="E1" s="137"/>
      <c r="F1" s="137"/>
      <c r="G1" s="137"/>
      <c r="H1" s="137"/>
      <c r="I1" s="137"/>
      <c r="J1" s="137"/>
      <c r="K1" s="137"/>
      <c r="L1" s="137"/>
      <c r="N1" s="1" t="s">
        <v>1075</v>
      </c>
      <c r="O1" s="39" t="s">
        <v>817</v>
      </c>
      <c r="P1" s="4" t="s">
        <v>1403</v>
      </c>
      <c r="Q1" s="4" t="s">
        <v>1404</v>
      </c>
      <c r="R1" s="4" t="s">
        <v>1406</v>
      </c>
      <c r="S1" s="4" t="s">
        <v>1405</v>
      </c>
      <c r="T1" s="4" t="s">
        <v>1407</v>
      </c>
      <c r="U1" s="4" t="s">
        <v>1417</v>
      </c>
      <c r="V1" s="4" t="s">
        <v>1408</v>
      </c>
      <c r="W1" s="4" t="s">
        <v>1416</v>
      </c>
      <c r="X1" s="4" t="s">
        <v>1409</v>
      </c>
      <c r="Y1" s="4" t="s">
        <v>1418</v>
      </c>
      <c r="Z1" s="4" t="s">
        <v>1411</v>
      </c>
      <c r="AA1" s="93" t="s">
        <v>1412</v>
      </c>
      <c r="AB1" s="93" t="s">
        <v>1413</v>
      </c>
      <c r="AC1" s="93" t="s">
        <v>1414</v>
      </c>
      <c r="AD1" s="93" t="s">
        <v>1415</v>
      </c>
      <c r="AE1" s="142"/>
      <c r="AF1" s="142"/>
      <c r="AG1" s="4"/>
      <c r="AH1" s="39"/>
      <c r="AI1" s="39"/>
      <c r="AJ1" s="39"/>
      <c r="AK1" s="39"/>
      <c r="AL1" s="39"/>
      <c r="AM1" s="4"/>
      <c r="AN1" s="39"/>
      <c r="AO1" s="39"/>
      <c r="AP1" s="39"/>
      <c r="AQ1" s="39"/>
      <c r="AR1" s="39"/>
      <c r="AS1" s="4"/>
      <c r="AT1" s="39"/>
      <c r="AU1" s="39"/>
      <c r="AV1" s="39"/>
      <c r="AW1" s="39"/>
      <c r="AX1" s="39"/>
      <c r="AY1" s="4"/>
      <c r="AZ1" s="39"/>
      <c r="BA1" s="39"/>
      <c r="BB1" s="39"/>
      <c r="BC1" s="39"/>
      <c r="BD1" s="39"/>
      <c r="BE1" s="4"/>
      <c r="BF1" s="39"/>
      <c r="BG1" s="39"/>
      <c r="BH1" s="39"/>
      <c r="BI1" s="39"/>
      <c r="BJ1" s="39"/>
      <c r="BK1" s="4"/>
      <c r="BL1" s="39"/>
      <c r="BM1" s="39"/>
      <c r="BN1" s="39"/>
      <c r="BO1" s="39"/>
      <c r="BP1" s="39"/>
      <c r="BQ1" s="39"/>
    </row>
    <row r="2" spans="1:69" x14ac:dyDescent="0.25">
      <c r="A2" t="s">
        <v>795</v>
      </c>
      <c r="B2" s="40" t="s">
        <v>796</v>
      </c>
      <c r="C2" s="41" t="s">
        <v>797</v>
      </c>
      <c r="D2" t="s">
        <v>798</v>
      </c>
      <c r="E2" t="s">
        <v>799</v>
      </c>
      <c r="F2" t="s">
        <v>800</v>
      </c>
      <c r="G2" t="s">
        <v>801</v>
      </c>
      <c r="H2" t="s">
        <v>802</v>
      </c>
      <c r="I2" t="s">
        <v>803</v>
      </c>
      <c r="J2" t="s">
        <v>804</v>
      </c>
      <c r="K2" t="s">
        <v>805</v>
      </c>
      <c r="L2" t="s">
        <v>806</v>
      </c>
      <c r="M2" s="37"/>
      <c r="N2" s="258" t="s">
        <v>1402</v>
      </c>
      <c r="O2" s="255"/>
      <c r="P2" s="256" t="s">
        <v>1253</v>
      </c>
      <c r="Q2" s="256" t="s">
        <v>1253</v>
      </c>
      <c r="R2" s="256" t="s">
        <v>1253</v>
      </c>
      <c r="S2" s="256" t="s">
        <v>1253</v>
      </c>
      <c r="T2" s="256" t="s">
        <v>1253</v>
      </c>
      <c r="U2" s="256" t="s">
        <v>1253</v>
      </c>
      <c r="V2" s="256" t="s">
        <v>1253</v>
      </c>
      <c r="W2" s="256" t="s">
        <v>1253</v>
      </c>
      <c r="X2" s="256" t="s">
        <v>1253</v>
      </c>
      <c r="Y2" s="257" t="s">
        <v>1410</v>
      </c>
      <c r="Z2" s="256" t="s">
        <v>1253</v>
      </c>
      <c r="AA2" s="256" t="s">
        <v>1253</v>
      </c>
      <c r="AB2" s="258" t="s">
        <v>1253</v>
      </c>
      <c r="AC2" s="256" t="s">
        <v>1253</v>
      </c>
      <c r="AD2" s="256" t="s">
        <v>1253</v>
      </c>
      <c r="AE2" s="143"/>
      <c r="AF2" s="143"/>
      <c r="AG2" s="4"/>
      <c r="AH2" s="39"/>
      <c r="AI2" s="39"/>
      <c r="AJ2" s="39"/>
      <c r="AK2" s="39"/>
      <c r="AL2" s="39"/>
      <c r="AM2" s="4"/>
      <c r="AN2" s="39"/>
      <c r="AO2" s="39"/>
      <c r="AP2" s="39"/>
      <c r="AQ2" s="39"/>
      <c r="AR2" s="39"/>
      <c r="AS2" s="4"/>
      <c r="AT2" s="39"/>
      <c r="AU2" s="39"/>
      <c r="AV2" s="39"/>
      <c r="AW2" s="39"/>
      <c r="AX2" s="39"/>
      <c r="AY2" s="4"/>
      <c r="AZ2" s="39"/>
      <c r="BA2" s="39"/>
      <c r="BB2" s="39"/>
      <c r="BC2" s="39"/>
      <c r="BD2" s="39"/>
      <c r="BE2" s="4"/>
      <c r="BF2" s="39"/>
      <c r="BG2" s="39"/>
      <c r="BH2" s="39"/>
      <c r="BI2" s="39"/>
      <c r="BJ2" s="39"/>
      <c r="BK2" s="4"/>
      <c r="BL2" s="39"/>
      <c r="BM2" s="39"/>
      <c r="BN2" s="39"/>
      <c r="BO2" s="39"/>
      <c r="BP2" s="39"/>
    </row>
    <row r="3" spans="1:69" x14ac:dyDescent="0.25">
      <c r="A3" s="133">
        <v>0</v>
      </c>
      <c r="B3" s="121" t="s">
        <v>807</v>
      </c>
      <c r="C3" s="121">
        <f t="shared" ref="C3:C50" si="0">Crew_Size</f>
        <v>5</v>
      </c>
      <c r="D3" s="122">
        <v>0.10799999999999998</v>
      </c>
      <c r="E3" s="122">
        <v>0.13650000000000001</v>
      </c>
      <c r="F3" s="122">
        <v>0</v>
      </c>
      <c r="G3" s="122">
        <v>0</v>
      </c>
      <c r="H3" s="122">
        <v>0</v>
      </c>
      <c r="I3" s="122">
        <v>0</v>
      </c>
      <c r="J3" s="122">
        <v>0</v>
      </c>
      <c r="K3" s="122">
        <v>0.189</v>
      </c>
      <c r="L3" s="122">
        <v>1585</v>
      </c>
      <c r="M3" s="37"/>
      <c r="N3" s="233" t="s">
        <v>807</v>
      </c>
      <c r="O3" s="261">
        <v>8</v>
      </c>
      <c r="P3" s="262">
        <f>3.6*60/10000</f>
        <v>2.1600000000000001E-2</v>
      </c>
      <c r="Q3" s="262">
        <f>4.55*60/10000</f>
        <v>2.7300000000000001E-2</v>
      </c>
      <c r="R3" s="262">
        <v>0</v>
      </c>
      <c r="S3" s="262">
        <v>0</v>
      </c>
      <c r="T3" s="262">
        <v>0</v>
      </c>
      <c r="U3" s="262">
        <v>0</v>
      </c>
      <c r="V3" s="262">
        <v>0</v>
      </c>
      <c r="W3" s="262">
        <v>0</v>
      </c>
      <c r="X3" s="262">
        <f>6.3*60/10000</f>
        <v>3.78E-2</v>
      </c>
      <c r="Y3" s="261">
        <v>317</v>
      </c>
      <c r="Z3" s="262">
        <v>0</v>
      </c>
      <c r="AA3" s="262">
        <f>(0.059/1.6)*schedule_nomal[[#This Row],[Urine Water Production]]</f>
        <v>0</v>
      </c>
      <c r="AB3" s="262">
        <f>(0.032/0.132)*schedule_nomal[[#This Row],[Feces Production]]</f>
        <v>0</v>
      </c>
      <c r="AC3" s="262">
        <f>0.001018*schedule_nomal[[#This Row],[Hygiene Water Consumption]]/schedule_nomal[[#This Row],[hr/day]]</f>
        <v>0</v>
      </c>
      <c r="AD3" s="260">
        <f>(0.018/1.9)*schedule_nomal[[#This Row],[Sweat/Water Vapor Production]]</f>
        <v>3.5810526315789467E-4</v>
      </c>
      <c r="AE3" s="138"/>
      <c r="AF3" s="138"/>
      <c r="AG3" s="44"/>
      <c r="AM3" s="44"/>
      <c r="AS3" s="44"/>
      <c r="AY3" s="44"/>
      <c r="BE3" s="44"/>
      <c r="BK3" s="44"/>
    </row>
    <row r="4" spans="1:69" x14ac:dyDescent="0.25">
      <c r="A4" s="133">
        <v>2.0833333333333332E-2</v>
      </c>
      <c r="B4" s="121" t="s">
        <v>807</v>
      </c>
      <c r="C4" s="121">
        <f t="shared" si="0"/>
        <v>5</v>
      </c>
      <c r="D4" s="122">
        <v>0.10799999999999998</v>
      </c>
      <c r="E4" s="122">
        <v>0.13650000000000001</v>
      </c>
      <c r="F4" s="122">
        <v>0</v>
      </c>
      <c r="G4" s="122">
        <v>0</v>
      </c>
      <c r="H4" s="122">
        <v>0</v>
      </c>
      <c r="I4" s="122">
        <v>0</v>
      </c>
      <c r="J4" s="122">
        <v>0</v>
      </c>
      <c r="K4" s="122">
        <v>0.189</v>
      </c>
      <c r="L4" s="122">
        <v>1585</v>
      </c>
      <c r="M4" s="37"/>
      <c r="N4" s="236" t="s">
        <v>808</v>
      </c>
      <c r="O4" s="237">
        <v>0.5</v>
      </c>
      <c r="P4" s="238">
        <f>5.68*60/10000</f>
        <v>3.4079999999999992E-2</v>
      </c>
      <c r="Q4" s="238">
        <f>7.2*60/10000</f>
        <v>4.3200000000000002E-2</v>
      </c>
      <c r="R4" s="238">
        <f>(1.6/3)/schedule_nomal[[#This Row],[hr/day]]</f>
        <v>1.0666666666666667</v>
      </c>
      <c r="S4" s="238">
        <f>(0.132/2)/schedule_nomal[[#This Row],[hr/day]]</f>
        <v>0.13200000000000001</v>
      </c>
      <c r="T4" s="238">
        <v>0</v>
      </c>
      <c r="U4" s="238">
        <v>0</v>
      </c>
      <c r="V4" s="238">
        <v>0</v>
      </c>
      <c r="W4" s="238">
        <v>0</v>
      </c>
      <c r="X4" s="238">
        <f>11.77*60/10000</f>
        <v>7.0619999999999988E-2</v>
      </c>
      <c r="Y4" s="237">
        <v>500</v>
      </c>
      <c r="Z4" s="238">
        <v>0</v>
      </c>
      <c r="AA4" s="238">
        <f>(0.059/1.6)*schedule_nomal[[#This Row],[Urine Water Production]]</f>
        <v>3.9333333333333331E-2</v>
      </c>
      <c r="AB4" s="238">
        <f>(0.032/0.132)*schedule_nomal[[#This Row],[Feces Production]]</f>
        <v>3.2000000000000001E-2</v>
      </c>
      <c r="AC4" s="238">
        <f>0.001018*schedule_nomal[[#This Row],[Hygiene Water Consumption]]/schedule_nomal[[#This Row],[hr/day]]</f>
        <v>0</v>
      </c>
      <c r="AD4" s="235">
        <f>(0.018/1.9)*schedule_nomal[[#This Row],[Sweat/Water Vapor Production]]</f>
        <v>6.6903157894736818E-4</v>
      </c>
      <c r="AE4" s="138"/>
      <c r="AF4" s="138"/>
      <c r="AG4" s="44"/>
      <c r="AM4" s="44"/>
      <c r="AS4" s="44"/>
      <c r="AY4" s="44"/>
      <c r="BE4" s="44"/>
      <c r="BK4" s="44"/>
    </row>
    <row r="5" spans="1:69" x14ac:dyDescent="0.25">
      <c r="A5" s="133">
        <v>4.1666666666666699E-2</v>
      </c>
      <c r="B5" s="121" t="s">
        <v>807</v>
      </c>
      <c r="C5" s="121">
        <f t="shared" si="0"/>
        <v>5</v>
      </c>
      <c r="D5" s="122">
        <v>0.10799999999999998</v>
      </c>
      <c r="E5" s="122">
        <v>0.13650000000000001</v>
      </c>
      <c r="F5" s="122">
        <v>0</v>
      </c>
      <c r="G5" s="122">
        <v>0</v>
      </c>
      <c r="H5" s="122">
        <v>0</v>
      </c>
      <c r="I5" s="122">
        <v>0</v>
      </c>
      <c r="J5" s="122">
        <v>0</v>
      </c>
      <c r="K5" s="122">
        <v>0.189</v>
      </c>
      <c r="L5" s="122">
        <v>1585</v>
      </c>
      <c r="M5" s="37"/>
      <c r="N5" s="236" t="s">
        <v>809</v>
      </c>
      <c r="O5" s="261">
        <v>1</v>
      </c>
      <c r="P5" s="262">
        <f>5.68*60/10000</f>
        <v>3.4079999999999992E-2</v>
      </c>
      <c r="Q5" s="262">
        <f>7.2*60/10000</f>
        <v>4.3200000000000002E-2</v>
      </c>
      <c r="R5" s="262">
        <f>(1.6/3)/schedule_nomal[[#This Row],[hr/day]]</f>
        <v>0.53333333333333333</v>
      </c>
      <c r="S5" s="262">
        <v>0</v>
      </c>
      <c r="T5" s="262">
        <v>0</v>
      </c>
      <c r="U5" s="262">
        <v>0</v>
      </c>
      <c r="V5" s="262">
        <v>0</v>
      </c>
      <c r="W5" s="262">
        <v>0</v>
      </c>
      <c r="X5" s="262">
        <f>11.77*60/10000</f>
        <v>7.0619999999999988E-2</v>
      </c>
      <c r="Y5" s="261">
        <v>500</v>
      </c>
      <c r="Z5" s="262">
        <v>0</v>
      </c>
      <c r="AA5" s="262">
        <f>(0.059/1.6)*schedule_nomal[[#This Row],[Urine Water Production]]</f>
        <v>1.9666666666666666E-2</v>
      </c>
      <c r="AB5" s="262">
        <f>(0.032/0.132)*schedule_nomal[[#This Row],[Feces Production]]</f>
        <v>0</v>
      </c>
      <c r="AC5" s="262">
        <f>0.001018*schedule_nomal[[#This Row],[Hygiene Water Consumption]]/schedule_nomal[[#This Row],[hr/day]]</f>
        <v>0</v>
      </c>
      <c r="AD5" s="260">
        <f>(0.018/1.9)*schedule_nomal[[#This Row],[Sweat/Water Vapor Production]]</f>
        <v>6.6903157894736818E-4</v>
      </c>
      <c r="AE5" s="138"/>
      <c r="AF5" s="138"/>
      <c r="AG5" s="44"/>
      <c r="AM5" s="44"/>
      <c r="AS5" s="44"/>
      <c r="AY5" s="44"/>
      <c r="BE5" s="44"/>
      <c r="BK5" s="44"/>
    </row>
    <row r="6" spans="1:69" x14ac:dyDescent="0.25">
      <c r="A6" s="133">
        <v>6.25E-2</v>
      </c>
      <c r="B6" s="121" t="s">
        <v>807</v>
      </c>
      <c r="C6" s="121">
        <f t="shared" si="0"/>
        <v>5</v>
      </c>
      <c r="D6" s="122">
        <v>0.10799999999999998</v>
      </c>
      <c r="E6" s="122">
        <v>0.13650000000000001</v>
      </c>
      <c r="F6" s="122">
        <v>0</v>
      </c>
      <c r="G6" s="122">
        <v>0</v>
      </c>
      <c r="H6" s="122">
        <v>0</v>
      </c>
      <c r="I6" s="122">
        <v>0</v>
      </c>
      <c r="J6" s="122">
        <v>0</v>
      </c>
      <c r="K6" s="122">
        <v>0.189</v>
      </c>
      <c r="L6" s="122">
        <v>1585</v>
      </c>
      <c r="M6" s="37"/>
      <c r="N6" s="239" t="s">
        <v>810</v>
      </c>
      <c r="O6" s="237">
        <v>0.5</v>
      </c>
      <c r="P6" s="238">
        <f>5.68*60/10000</f>
        <v>3.4079999999999992E-2</v>
      </c>
      <c r="Q6" s="238">
        <f>7.2*60/10000</f>
        <v>4.3200000000000002E-2</v>
      </c>
      <c r="R6" s="238">
        <f>(1.6/3)/schedule_nomal[[#This Row],[hr/day]]</f>
        <v>1.0666666666666667</v>
      </c>
      <c r="S6" s="238">
        <f>(0.132/2)/schedule_nomal[[#This Row],[hr/day]]</f>
        <v>0.13200000000000001</v>
      </c>
      <c r="T6" s="238">
        <v>0</v>
      </c>
      <c r="U6" s="238">
        <f>0.4/schedule_nomal[[#This Row],[hr/day]]</f>
        <v>0.8</v>
      </c>
      <c r="V6" s="238">
        <v>0</v>
      </c>
      <c r="W6" s="238">
        <v>0</v>
      </c>
      <c r="X6" s="238">
        <f>11.77*60/10000</f>
        <v>7.0619999999999988E-2</v>
      </c>
      <c r="Y6" s="237">
        <v>500</v>
      </c>
      <c r="Z6" s="238">
        <v>0</v>
      </c>
      <c r="AA6" s="238">
        <f>(0.059/1.6)*schedule_nomal[[#This Row],[Urine Water Production]]</f>
        <v>3.9333333333333331E-2</v>
      </c>
      <c r="AB6" s="238">
        <f>(0.032/0.132)*schedule_nomal[[#This Row],[Feces Production]]</f>
        <v>3.2000000000000001E-2</v>
      </c>
      <c r="AC6" s="238">
        <f>0.001018*schedule_nomal[[#This Row],[Hygiene Water Consumption]]/schedule_nomal[[#This Row],[hr/day]]</f>
        <v>1.6288000000000001E-3</v>
      </c>
      <c r="AD6" s="235">
        <f>(0.018/1.9)*schedule_nomal[[#This Row],[Sweat/Water Vapor Production]]</f>
        <v>6.6903157894736818E-4</v>
      </c>
      <c r="AE6" s="138"/>
      <c r="AF6" s="138"/>
      <c r="AG6" s="44"/>
      <c r="AM6" s="44"/>
      <c r="AS6" s="44"/>
      <c r="AY6" s="44"/>
      <c r="BE6" s="44"/>
      <c r="BK6" s="44"/>
    </row>
    <row r="7" spans="1:69" x14ac:dyDescent="0.25">
      <c r="A7" s="133">
        <v>8.3333333333333301E-2</v>
      </c>
      <c r="B7" s="121" t="s">
        <v>807</v>
      </c>
      <c r="C7" s="121">
        <f t="shared" si="0"/>
        <v>5</v>
      </c>
      <c r="D7" s="122">
        <v>0.10799999999999998</v>
      </c>
      <c r="E7" s="122">
        <v>0.13650000000000001</v>
      </c>
      <c r="F7" s="122">
        <v>0</v>
      </c>
      <c r="G7" s="122">
        <v>0</v>
      </c>
      <c r="H7" s="122">
        <v>0</v>
      </c>
      <c r="I7" s="122">
        <v>0</v>
      </c>
      <c r="J7" s="122">
        <v>0</v>
      </c>
      <c r="K7" s="122">
        <v>0.189</v>
      </c>
      <c r="L7" s="122">
        <v>1585</v>
      </c>
      <c r="M7" s="37"/>
      <c r="N7" s="240" t="s">
        <v>1242</v>
      </c>
      <c r="O7" s="261">
        <v>6.5</v>
      </c>
      <c r="P7" s="262">
        <f>5.68*60/10000</f>
        <v>3.4079999999999992E-2</v>
      </c>
      <c r="Q7" s="262">
        <f>7.2*60/10000</f>
        <v>4.3200000000000002E-2</v>
      </c>
      <c r="R7" s="262">
        <v>0</v>
      </c>
      <c r="S7" s="262">
        <v>0</v>
      </c>
      <c r="T7" s="262">
        <v>0</v>
      </c>
      <c r="U7" s="262">
        <v>0</v>
      </c>
      <c r="V7" s="262">
        <v>0</v>
      </c>
      <c r="W7" s="262">
        <v>0</v>
      </c>
      <c r="X7" s="262">
        <f>11.77*60/10000</f>
        <v>7.0619999999999988E-2</v>
      </c>
      <c r="Y7" s="261">
        <v>500</v>
      </c>
      <c r="Z7" s="262">
        <v>0</v>
      </c>
      <c r="AA7" s="262">
        <f>(0.059/1.6)*schedule_nomal[[#This Row],[Urine Water Production]]</f>
        <v>0</v>
      </c>
      <c r="AB7" s="262">
        <f>(0.032/0.132)*schedule_nomal[[#This Row],[Feces Production]]</f>
        <v>0</v>
      </c>
      <c r="AC7" s="262">
        <f>0.001018*schedule_nomal[[#This Row],[Hygiene Water Consumption]]/schedule_nomal[[#This Row],[hr/day]]</f>
        <v>0</v>
      </c>
      <c r="AD7" s="260">
        <f>(0.018/1.9)*schedule_nomal[[#This Row],[Sweat/Water Vapor Production]]</f>
        <v>6.6903157894736818E-4</v>
      </c>
      <c r="AE7" s="138"/>
      <c r="AF7" s="138"/>
      <c r="AG7" s="44"/>
      <c r="AM7" s="44"/>
      <c r="AS7" s="44"/>
      <c r="AY7" s="44"/>
      <c r="BE7" s="44"/>
      <c r="BK7" s="44"/>
    </row>
    <row r="8" spans="1:69" x14ac:dyDescent="0.25">
      <c r="A8" s="133">
        <v>0.104166666666667</v>
      </c>
      <c r="B8" s="121" t="s">
        <v>807</v>
      </c>
      <c r="C8" s="121">
        <f t="shared" si="0"/>
        <v>5</v>
      </c>
      <c r="D8" s="122">
        <v>0.10799999999999998</v>
      </c>
      <c r="E8" s="122">
        <v>0.13650000000000001</v>
      </c>
      <c r="F8" s="122">
        <v>0</v>
      </c>
      <c r="G8" s="122">
        <v>0</v>
      </c>
      <c r="H8" s="122">
        <v>0</v>
      </c>
      <c r="I8" s="122">
        <v>0</v>
      </c>
      <c r="J8" s="122">
        <v>0</v>
      </c>
      <c r="K8" s="122">
        <v>0.189</v>
      </c>
      <c r="L8" s="122">
        <v>1585</v>
      </c>
      <c r="M8" s="37"/>
      <c r="N8" s="241" t="s">
        <v>811</v>
      </c>
      <c r="O8" s="237">
        <v>3.5</v>
      </c>
      <c r="P8" s="238">
        <f>5.68*60/10000</f>
        <v>3.4079999999999992E-2</v>
      </c>
      <c r="Q8" s="238">
        <f>7.2*60/10000</f>
        <v>4.3200000000000002E-2</v>
      </c>
      <c r="R8" s="238">
        <v>0</v>
      </c>
      <c r="S8" s="238">
        <v>0</v>
      </c>
      <c r="T8" s="238">
        <v>0</v>
      </c>
      <c r="U8" s="238">
        <v>0</v>
      </c>
      <c r="V8" s="238">
        <v>0</v>
      </c>
      <c r="W8" s="238">
        <v>0</v>
      </c>
      <c r="X8" s="238">
        <f>11.77*60/10000</f>
        <v>7.0619999999999988E-2</v>
      </c>
      <c r="Y8" s="237">
        <v>500</v>
      </c>
      <c r="Z8" s="238">
        <v>0</v>
      </c>
      <c r="AA8" s="238">
        <f>(0.059/1.6)*schedule_nomal[[#This Row],[Urine Water Production]]</f>
        <v>0</v>
      </c>
      <c r="AB8" s="238">
        <f>(0.032/0.132)*schedule_nomal[[#This Row],[Feces Production]]</f>
        <v>0</v>
      </c>
      <c r="AC8" s="238">
        <f>0.001018*schedule_nomal[[#This Row],[Hygiene Water Consumption]]/schedule_nomal[[#This Row],[hr/day]]</f>
        <v>0</v>
      </c>
      <c r="AD8" s="235">
        <f>(0.018/1.9)*schedule_nomal[[#This Row],[Sweat/Water Vapor Production]]</f>
        <v>6.6903157894736818E-4</v>
      </c>
      <c r="AE8" s="138"/>
      <c r="AF8" s="138"/>
      <c r="AG8" s="44"/>
      <c r="AM8" s="44"/>
      <c r="AS8" s="44"/>
      <c r="AY8" s="44"/>
      <c r="BE8" s="44"/>
      <c r="BK8" s="44"/>
    </row>
    <row r="9" spans="1:69" x14ac:dyDescent="0.25">
      <c r="A9" s="133">
        <v>0.125</v>
      </c>
      <c r="B9" s="121" t="s">
        <v>807</v>
      </c>
      <c r="C9" s="121">
        <f t="shared" si="0"/>
        <v>5</v>
      </c>
      <c r="D9" s="122">
        <v>0.10799999999999998</v>
      </c>
      <c r="E9" s="122">
        <v>0.13650000000000001</v>
      </c>
      <c r="F9" s="122">
        <v>0</v>
      </c>
      <c r="G9" s="122">
        <v>0</v>
      </c>
      <c r="H9" s="122">
        <v>0</v>
      </c>
      <c r="I9" s="122">
        <v>0</v>
      </c>
      <c r="J9" s="122">
        <v>0</v>
      </c>
      <c r="K9" s="122">
        <v>0.189</v>
      </c>
      <c r="L9" s="122">
        <v>1585</v>
      </c>
      <c r="M9" s="37"/>
      <c r="N9" s="242" t="s">
        <v>1401</v>
      </c>
      <c r="O9" s="261">
        <v>0.25</v>
      </c>
      <c r="P9" s="262">
        <f>39.4*60/10000</f>
        <v>0.2364</v>
      </c>
      <c r="Q9" s="262">
        <f>49.85*60/10000</f>
        <v>0.29909999999999998</v>
      </c>
      <c r="R9" s="262">
        <f>0</f>
        <v>0</v>
      </c>
      <c r="S9" s="262">
        <f>0</f>
        <v>0</v>
      </c>
      <c r="T9" s="262">
        <f>0</f>
        <v>0</v>
      </c>
      <c r="U9" s="262">
        <f>0</f>
        <v>0</v>
      </c>
      <c r="V9" s="262">
        <f>0</f>
        <v>0</v>
      </c>
      <c r="W9" s="262">
        <v>0</v>
      </c>
      <c r="X9" s="262">
        <f>(16.16+1.56)*60/10000</f>
        <v>0.10631999999999998</v>
      </c>
      <c r="Y9" s="261">
        <f>1143</f>
        <v>1143</v>
      </c>
      <c r="Z9" s="262">
        <f>0</f>
        <v>0</v>
      </c>
      <c r="AA9" s="262">
        <f>(0.059/1.6)*schedule_nomal[[#This Row],[Urine Water Production]]</f>
        <v>0</v>
      </c>
      <c r="AB9" s="262">
        <f>(0.032/0.132)*schedule_nomal[[#This Row],[Feces Production]]</f>
        <v>0</v>
      </c>
      <c r="AC9" s="262">
        <f>0.001018*schedule_nomal[[#This Row],[Hygiene Water Consumption]]/schedule_nomal[[#This Row],[hr/day]]</f>
        <v>0</v>
      </c>
      <c r="AD9" s="260">
        <f>(0.018/1.9)*schedule_nomal[[#This Row],[Sweat/Water Vapor Production]]</f>
        <v>1.0072421052631576E-3</v>
      </c>
      <c r="AE9" s="138"/>
      <c r="AF9" s="138"/>
      <c r="AG9" s="44"/>
      <c r="AM9" s="44"/>
      <c r="AS9" s="44"/>
      <c r="AY9" s="44"/>
      <c r="BE9" s="44"/>
      <c r="BK9" s="44"/>
    </row>
    <row r="10" spans="1:69" x14ac:dyDescent="0.25">
      <c r="A10" s="133">
        <v>0.14583333333333301</v>
      </c>
      <c r="B10" s="121" t="s">
        <v>807</v>
      </c>
      <c r="C10" s="121">
        <f t="shared" si="0"/>
        <v>5</v>
      </c>
      <c r="D10" s="122">
        <v>0.10799999999999998</v>
      </c>
      <c r="E10" s="122">
        <v>0.13650000000000001</v>
      </c>
      <c r="F10" s="122">
        <v>0</v>
      </c>
      <c r="G10" s="122">
        <v>0</v>
      </c>
      <c r="H10" s="122">
        <v>0</v>
      </c>
      <c r="I10" s="122">
        <v>0</v>
      </c>
      <c r="J10" s="122">
        <v>0</v>
      </c>
      <c r="K10" s="122">
        <v>0.189</v>
      </c>
      <c r="L10" s="122">
        <v>1585</v>
      </c>
      <c r="M10" s="37"/>
      <c r="N10" s="243" t="s">
        <v>812</v>
      </c>
      <c r="O10" s="237">
        <v>0.25</v>
      </c>
      <c r="P10" s="238">
        <f>39.4*60/10000</f>
        <v>0.2364</v>
      </c>
      <c r="Q10" s="238">
        <f>49.85*60/10000</f>
        <v>0.29909999999999998</v>
      </c>
      <c r="R10" s="238">
        <v>0</v>
      </c>
      <c r="S10" s="238">
        <v>0</v>
      </c>
      <c r="T10" s="238">
        <v>0</v>
      </c>
      <c r="U10" s="238">
        <v>0</v>
      </c>
      <c r="V10" s="238">
        <v>0</v>
      </c>
      <c r="W10" s="238">
        <v>0</v>
      </c>
      <c r="X10" s="238">
        <f>(128.42+33.52)*60/10000</f>
        <v>0.97163999999999995</v>
      </c>
      <c r="Y10" s="237">
        <f>2974</f>
        <v>2974</v>
      </c>
      <c r="Z10" s="238">
        <v>0</v>
      </c>
      <c r="AA10" s="238">
        <f>(0.059/1.6)*schedule_nomal[[#This Row],[Urine Water Production]]</f>
        <v>0</v>
      </c>
      <c r="AB10" s="238">
        <f>(0.032/0.132)*schedule_nomal[[#This Row],[Feces Production]]</f>
        <v>0</v>
      </c>
      <c r="AC10" s="238">
        <f>0.001018*schedule_nomal[[#This Row],[Hygiene Water Consumption]]/schedule_nomal[[#This Row],[hr/day]]</f>
        <v>0</v>
      </c>
      <c r="AD10" s="235">
        <f>(0.018/1.9)*schedule_nomal[[#This Row],[Sweat/Water Vapor Production]]</f>
        <v>9.2050105263157874E-3</v>
      </c>
      <c r="AE10" s="138"/>
      <c r="AF10" s="138"/>
      <c r="AG10" s="44"/>
      <c r="AM10" s="44"/>
      <c r="AS10" s="44"/>
      <c r="AY10" s="44"/>
      <c r="BE10" s="44"/>
      <c r="BK10" s="44"/>
    </row>
    <row r="11" spans="1:69" x14ac:dyDescent="0.25">
      <c r="A11" s="133">
        <v>0.16666666666666699</v>
      </c>
      <c r="B11" s="121" t="s">
        <v>807</v>
      </c>
      <c r="C11" s="121">
        <f t="shared" si="0"/>
        <v>5</v>
      </c>
      <c r="D11" s="122">
        <v>0.10799999999999998</v>
      </c>
      <c r="E11" s="122">
        <v>0.13650000000000001</v>
      </c>
      <c r="F11" s="122">
        <v>0</v>
      </c>
      <c r="G11" s="122">
        <v>0</v>
      </c>
      <c r="H11" s="122">
        <v>0</v>
      </c>
      <c r="I11" s="122">
        <v>0</v>
      </c>
      <c r="J11" s="122">
        <v>0</v>
      </c>
      <c r="K11" s="122">
        <v>0.189</v>
      </c>
      <c r="L11" s="122">
        <v>1585</v>
      </c>
      <c r="M11" s="37"/>
      <c r="N11" s="244" t="s">
        <v>813</v>
      </c>
      <c r="O11" s="261">
        <v>1</v>
      </c>
      <c r="P11" s="262">
        <f>5.68*60/10000</f>
        <v>3.4079999999999992E-2</v>
      </c>
      <c r="Q11" s="262">
        <f>7.2*60/10000</f>
        <v>4.3200000000000002E-2</v>
      </c>
      <c r="R11" s="262">
        <v>0</v>
      </c>
      <c r="S11" s="262">
        <v>0</v>
      </c>
      <c r="T11" s="262" cm="1">
        <f t="array" ref="T11">(SUM(X9:X11*O9:O11) - ((11.77*60/10000)*SUM(O9:O11)))/schedule_nomal[[#This Row],[hr/day]]</f>
        <v>0.44478000000000006</v>
      </c>
      <c r="U11" s="262">
        <f>0.1/schedule_nomal[[#This Row],[hr/day]]</f>
        <v>0.1</v>
      </c>
      <c r="V11" s="262">
        <v>0</v>
      </c>
      <c r="W11" s="262">
        <v>0</v>
      </c>
      <c r="X11" s="262">
        <f>(83.83+15.16+40.29+0.36+27.44+20.4)/4*60/10000</f>
        <v>0.28122000000000003</v>
      </c>
      <c r="Y11" s="261">
        <f>(2005+1078+865+751)/4</f>
        <v>1174.75</v>
      </c>
      <c r="Z11" s="262">
        <v>0</v>
      </c>
      <c r="AA11" s="262">
        <f>(0.059/1.6)*schedule_nomal[[#This Row],[Urine Water Production]]</f>
        <v>0</v>
      </c>
      <c r="AB11" s="262">
        <f>(0.032/0.132)*schedule_nomal[[#This Row],[Feces Production]]</f>
        <v>0</v>
      </c>
      <c r="AC11" s="262">
        <f>0.001018*schedule_nomal[[#This Row],[Hygiene Water Consumption]]/schedule_nomal[[#This Row],[hr/day]]</f>
        <v>1.0180000000000001E-4</v>
      </c>
      <c r="AD11" s="260">
        <f>(0.018/1.9)*schedule_nomal[[#This Row],[Sweat/Water Vapor Production]]</f>
        <v>2.6641894736842103E-3</v>
      </c>
      <c r="AE11" s="138"/>
      <c r="AF11" s="138"/>
      <c r="AG11" s="44"/>
      <c r="AM11" s="44"/>
      <c r="AS11" s="44"/>
      <c r="AY11" s="44"/>
      <c r="BE11" s="44"/>
      <c r="BK11" s="44"/>
    </row>
    <row r="12" spans="1:69" x14ac:dyDescent="0.25">
      <c r="A12" s="133">
        <v>0.1875</v>
      </c>
      <c r="B12" s="121" t="s">
        <v>807</v>
      </c>
      <c r="C12" s="121">
        <f t="shared" si="0"/>
        <v>5</v>
      </c>
      <c r="D12" s="122">
        <v>0.10799999999999998</v>
      </c>
      <c r="E12" s="122">
        <v>0.13650000000000001</v>
      </c>
      <c r="F12" s="122">
        <v>0</v>
      </c>
      <c r="G12" s="122">
        <v>0</v>
      </c>
      <c r="H12" s="122">
        <v>0</v>
      </c>
      <c r="I12" s="122">
        <v>0</v>
      </c>
      <c r="J12" s="122">
        <v>0</v>
      </c>
      <c r="K12" s="122">
        <v>0.189</v>
      </c>
      <c r="L12" s="122">
        <v>1585</v>
      </c>
      <c r="M12" s="37"/>
      <c r="N12" s="245" t="s">
        <v>814</v>
      </c>
      <c r="O12" s="237">
        <v>0.5</v>
      </c>
      <c r="P12" s="238">
        <f>5.68*60/10000</f>
        <v>3.4079999999999992E-2</v>
      </c>
      <c r="Q12" s="238">
        <f>7.2*60/10000</f>
        <v>4.3200000000000002E-2</v>
      </c>
      <c r="R12" s="238">
        <v>0</v>
      </c>
      <c r="S12" s="238">
        <v>0</v>
      </c>
      <c r="T12" s="234" cm="1">
        <f t="array" ref="T12">((SUM(X3:X8*O3:O8)+SUM(X12:X14*O12:O14)+R16+(S16-AB16)-Z16-W16 + ((11.77*60/10000)*SUM(O9:O11)))/3)/schedule_nomal[[#This Row],[hr/day]]</f>
        <v>1.3915466666666665</v>
      </c>
      <c r="U12" s="238">
        <v>0</v>
      </c>
      <c r="V12" s="238">
        <f>(1.51/3)/schedule_nomal[[#This Row],[hr/day]]</f>
        <v>1.0066666666666666</v>
      </c>
      <c r="W12" s="238">
        <f>(0.7/3)/schedule_nomal[[#This Row],[hr/day]]</f>
        <v>0.46666666666666662</v>
      </c>
      <c r="X12" s="238">
        <f>11.77*60/10000</f>
        <v>7.0619999999999988E-2</v>
      </c>
      <c r="Y12" s="237">
        <v>500</v>
      </c>
      <c r="Z12" s="238">
        <f>($Z$16/3)/schedule_nomal[[#This Row],[hr/day]]</f>
        <v>0.22999999999999998</v>
      </c>
      <c r="AA12" s="238">
        <f>(0.059/1.6)*schedule_nomal[[#This Row],[Urine Water Production]]</f>
        <v>0</v>
      </c>
      <c r="AB12" s="238">
        <f>(0.032/0.132)*schedule_nomal[[#This Row],[Feces Production]]</f>
        <v>0</v>
      </c>
      <c r="AC12" s="238">
        <f>0.001018*schedule_nomal[[#This Row],[Hygiene Water Consumption]]/schedule_nomal[[#This Row],[hr/day]]</f>
        <v>0</v>
      </c>
      <c r="AD12" s="235">
        <f>(0.018/1.9)*schedule_nomal[[#This Row],[Sweat/Water Vapor Production]]</f>
        <v>6.6903157894736818E-4</v>
      </c>
      <c r="AE12" s="138"/>
      <c r="AF12" s="138"/>
      <c r="AG12" s="44"/>
      <c r="AM12" s="44"/>
      <c r="AS12" s="44"/>
      <c r="AY12" s="44"/>
      <c r="BE12" s="44"/>
      <c r="BK12" s="44"/>
    </row>
    <row r="13" spans="1:69" x14ac:dyDescent="0.25">
      <c r="A13" s="133">
        <v>0.20833333333333301</v>
      </c>
      <c r="B13" s="130" t="s">
        <v>808</v>
      </c>
      <c r="C13" s="130">
        <f t="shared" si="0"/>
        <v>5</v>
      </c>
      <c r="D13" s="131">
        <v>0.17039999999999997</v>
      </c>
      <c r="E13" s="131">
        <v>0.21599999999999997</v>
      </c>
      <c r="F13" s="131">
        <v>5.333333333333333</v>
      </c>
      <c r="G13" s="131">
        <v>0.73942000000000008</v>
      </c>
      <c r="H13" s="131">
        <v>0</v>
      </c>
      <c r="I13" s="131">
        <v>0</v>
      </c>
      <c r="J13" s="131">
        <v>0</v>
      </c>
      <c r="K13" s="131">
        <v>0.35309999999999997</v>
      </c>
      <c r="L13" s="131">
        <v>2500</v>
      </c>
      <c r="M13" s="37"/>
      <c r="N13" s="245" t="s">
        <v>815</v>
      </c>
      <c r="O13" s="261">
        <v>1</v>
      </c>
      <c r="P13" s="262">
        <f>5.68*60/10000</f>
        <v>3.4079999999999992E-2</v>
      </c>
      <c r="Q13" s="262">
        <f>7.2*60/10000</f>
        <v>4.3200000000000002E-2</v>
      </c>
      <c r="R13" s="262">
        <v>0</v>
      </c>
      <c r="S13" s="262">
        <v>0</v>
      </c>
      <c r="T13" s="238" cm="1">
        <f t="array" ref="T13">((SUM(X3:X8*O3:O8)+SUM(X12:X14*O12:O14)+R16+(S16-AB16)-Z16-W16 + ((11.77*60/10000)*SUM(O9:O11)))/3)/schedule_nomal[[#This Row],[hr/day]]</f>
        <v>0.69577333333333324</v>
      </c>
      <c r="U13" s="262">
        <f>0.1/schedule_nomal[[#This Row],[hr/day]]</f>
        <v>0.1</v>
      </c>
      <c r="V13" s="262">
        <f>(1.51/3)/schedule_nomal[[#This Row],[hr/day]]</f>
        <v>0.5033333333333333</v>
      </c>
      <c r="W13" s="259">
        <f>(0.7/3)/schedule_nomal[[#This Row],[hr/day]]</f>
        <v>0.23333333333333331</v>
      </c>
      <c r="X13" s="262">
        <f>11.77*60/10000</f>
        <v>7.0619999999999988E-2</v>
      </c>
      <c r="Y13" s="261">
        <v>500</v>
      </c>
      <c r="Z13" s="238">
        <f>($Z$16/3)/schedule_nomal[[#This Row],[hr/day]]</f>
        <v>0.11499999999999999</v>
      </c>
      <c r="AA13" s="262">
        <f>(0.059/1.6)*schedule_nomal[[#This Row],[Urine Water Production]]</f>
        <v>0</v>
      </c>
      <c r="AB13" s="262">
        <f>(0.032/0.132)*schedule_nomal[[#This Row],[Feces Production]]</f>
        <v>0</v>
      </c>
      <c r="AC13" s="262">
        <f>0.001018*schedule_nomal[[#This Row],[Hygiene Water Consumption]]/schedule_nomal[[#This Row],[hr/day]]</f>
        <v>1.0180000000000001E-4</v>
      </c>
      <c r="AD13" s="260">
        <f>(0.018/1.9)*schedule_nomal[[#This Row],[Sweat/Water Vapor Production]]</f>
        <v>6.6903157894736818E-4</v>
      </c>
      <c r="AE13" s="139"/>
      <c r="AF13" s="139"/>
      <c r="AG13" s="44"/>
      <c r="AM13" s="44"/>
      <c r="AS13" s="44"/>
      <c r="AY13" s="44"/>
      <c r="BE13" s="44"/>
      <c r="BK13" s="44"/>
    </row>
    <row r="14" spans="1:69" x14ac:dyDescent="0.25">
      <c r="A14" s="133">
        <v>0.22916666666666699</v>
      </c>
      <c r="B14" s="42" t="s">
        <v>814</v>
      </c>
      <c r="C14" s="42">
        <f t="shared" si="0"/>
        <v>5</v>
      </c>
      <c r="D14" s="122">
        <v>0.17039999999999997</v>
      </c>
      <c r="E14" s="63">
        <v>0.21599999999999997</v>
      </c>
      <c r="F14" s="63">
        <v>0</v>
      </c>
      <c r="G14" s="63">
        <v>0</v>
      </c>
      <c r="H14" s="63">
        <v>6.9577333333333327</v>
      </c>
      <c r="I14" s="63">
        <v>0</v>
      </c>
      <c r="J14" s="63">
        <v>5.6390111111111105</v>
      </c>
      <c r="K14" s="63">
        <v>0.35309999999999997</v>
      </c>
      <c r="L14" s="63">
        <v>2500</v>
      </c>
      <c r="M14" s="37"/>
      <c r="N14" s="245" t="s">
        <v>816</v>
      </c>
      <c r="O14" s="237">
        <v>1</v>
      </c>
      <c r="P14" s="238">
        <f>5.68*60/10000</f>
        <v>3.4079999999999992E-2</v>
      </c>
      <c r="Q14" s="238">
        <f>7.2*60/10000</f>
        <v>4.3200000000000002E-2</v>
      </c>
      <c r="R14" s="238">
        <v>0</v>
      </c>
      <c r="S14" s="238">
        <v>0</v>
      </c>
      <c r="T14" s="234" cm="1">
        <f t="array" ref="T14">((SUM(X3:X8*O3:O8)+SUM(X12:X14*O12:O14)+R16+(S16-AB16)-Z16-W16 + ((11.77*60/10000)*SUM(O9:O11)))/3)/schedule_nomal[[#This Row],[hr/day]]</f>
        <v>0.69577333333333324</v>
      </c>
      <c r="U14" s="238">
        <f>0.1/schedule_nomal[[#This Row],[hr/day]]</f>
        <v>0.1</v>
      </c>
      <c r="V14" s="238">
        <f>(1.51/3)/schedule_nomal[[#This Row],[hr/day]]</f>
        <v>0.5033333333333333</v>
      </c>
      <c r="W14" s="238">
        <f>(0.7/3)/schedule_nomal[[#This Row],[hr/day]]</f>
        <v>0.23333333333333331</v>
      </c>
      <c r="X14" s="238">
        <f>11.77*60/10000</f>
        <v>7.0619999999999988E-2</v>
      </c>
      <c r="Y14" s="237">
        <v>500</v>
      </c>
      <c r="Z14" s="238">
        <f>($Z$16/3)/schedule_nomal[[#This Row],[hr/day]]</f>
        <v>0.11499999999999999</v>
      </c>
      <c r="AA14" s="238">
        <f>(0.059/1.6)*schedule_nomal[[#This Row],[Urine Water Production]]</f>
        <v>0</v>
      </c>
      <c r="AB14" s="238">
        <f>(0.032/0.132)*schedule_nomal[[#This Row],[Feces Production]]</f>
        <v>0</v>
      </c>
      <c r="AC14" s="238">
        <f>0.001018*schedule_nomal[[#This Row],[Hygiene Water Consumption]]/schedule_nomal[[#This Row],[hr/day]]</f>
        <v>1.0180000000000001E-4</v>
      </c>
      <c r="AD14" s="235">
        <f>(0.018/1.9)*schedule_nomal[[#This Row],[Sweat/Water Vapor Production]]</f>
        <v>6.6903157894736818E-4</v>
      </c>
      <c r="AE14" s="140"/>
      <c r="AF14" s="140"/>
      <c r="AG14" s="44"/>
      <c r="AM14" s="44"/>
      <c r="AS14" s="44"/>
      <c r="AY14" s="44"/>
      <c r="BE14" s="44"/>
      <c r="BK14" s="44"/>
    </row>
    <row r="15" spans="1:69" ht="14.1" customHeight="1" x14ac:dyDescent="0.25">
      <c r="A15" s="133">
        <v>0.25</v>
      </c>
      <c r="B15" s="42" t="s">
        <v>810</v>
      </c>
      <c r="C15" s="42">
        <f t="shared" si="0"/>
        <v>5</v>
      </c>
      <c r="D15" s="122">
        <v>0.17039999999999997</v>
      </c>
      <c r="E15" s="63">
        <v>0.21599999999999997</v>
      </c>
      <c r="F15" s="63">
        <v>5.333333333333333</v>
      </c>
      <c r="G15" s="63">
        <v>0.73942000000000008</v>
      </c>
      <c r="H15" s="63">
        <v>0</v>
      </c>
      <c r="I15" s="63">
        <v>4.0000000000000009</v>
      </c>
      <c r="J15" s="63">
        <v>0</v>
      </c>
      <c r="K15" s="63">
        <v>0.35309999999999997</v>
      </c>
      <c r="L15" s="63">
        <v>2500</v>
      </c>
      <c r="M15" s="37"/>
      <c r="N15" s="266" t="s">
        <v>1176</v>
      </c>
      <c r="O15" s="262"/>
      <c r="P15" s="263">
        <f>AVERAGE(P3:P14)</f>
        <v>6.676E-2</v>
      </c>
      <c r="Q15" s="263">
        <f>AVERAGE(Q3:Q14)</f>
        <v>8.4525000000000003E-2</v>
      </c>
      <c r="R15" s="263">
        <f>AVERAGE(R4:R6,R8)</f>
        <v>0.66666666666666674</v>
      </c>
      <c r="S15" s="263">
        <f>AVERAGE(S4,S6,S8)</f>
        <v>8.8000000000000009E-2</v>
      </c>
      <c r="T15" s="263">
        <f>AVERAGE(T11:T14)</f>
        <v>0.80696833333333329</v>
      </c>
      <c r="U15" s="263">
        <f>AVERAGE(U4:U6,U8,U11:U14)</f>
        <v>0.13750000000000001</v>
      </c>
      <c r="V15" s="263">
        <f>AVERAGE(V12:V14)</f>
        <v>0.6711111111111111</v>
      </c>
      <c r="W15" s="263">
        <f>AVERAGE(W12:W14)</f>
        <v>0.31111111111111106</v>
      </c>
      <c r="X15" s="263">
        <f>AVERAGE(X3:X14)</f>
        <v>0.16349499999999997</v>
      </c>
      <c r="Y15" s="264">
        <f>AVERAGE(Y3:Y14)</f>
        <v>800.72916666666663</v>
      </c>
      <c r="Z15" s="263">
        <f>AVERAGE(Z12,Z14)</f>
        <v>0.17249999999999999</v>
      </c>
      <c r="AA15" s="263">
        <f>AVERAGE(AA3,AA14)</f>
        <v>0</v>
      </c>
      <c r="AB15" s="263">
        <f>AVERAGE(AB3,AB14)</f>
        <v>0</v>
      </c>
      <c r="AC15" s="263">
        <f>AVERAGE(AC3,AC14)</f>
        <v>5.0900000000000004E-5</v>
      </c>
      <c r="AD15" s="265">
        <f>AVERAGE(AD3:AD14)</f>
        <v>1.5489E-3</v>
      </c>
      <c r="AE15" s="81"/>
      <c r="AF15" s="81"/>
      <c r="AG15" s="44"/>
      <c r="AH15" s="43"/>
      <c r="AM15" s="44"/>
      <c r="AS15" s="44"/>
      <c r="AY15" s="44"/>
      <c r="BE15" s="44"/>
      <c r="BK15" s="44"/>
    </row>
    <row r="16" spans="1:69" x14ac:dyDescent="0.25">
      <c r="A16" s="133">
        <v>0.27083333333333298</v>
      </c>
      <c r="B16" s="42" t="s">
        <v>1242</v>
      </c>
      <c r="C16" s="42">
        <f t="shared" si="0"/>
        <v>5</v>
      </c>
      <c r="D16" s="122">
        <v>0.17039999999999997</v>
      </c>
      <c r="E16" s="63">
        <v>0.21599999999999997</v>
      </c>
      <c r="F16" s="63">
        <v>0</v>
      </c>
      <c r="G16" s="63">
        <v>0</v>
      </c>
      <c r="H16" s="63">
        <v>0</v>
      </c>
      <c r="I16" s="63">
        <v>0</v>
      </c>
      <c r="J16" s="63">
        <v>0</v>
      </c>
      <c r="K16" s="63">
        <v>0.35309999999999997</v>
      </c>
      <c r="L16" s="63">
        <v>2500</v>
      </c>
      <c r="M16" s="37"/>
      <c r="N16" s="246" t="s">
        <v>1074</v>
      </c>
      <c r="O16" s="247">
        <f>SUM(O3:O14)</f>
        <v>24</v>
      </c>
      <c r="P16" s="248" cm="1">
        <f t="array" ref="P16">SUM(P3:P14*O3:O14)</f>
        <v>0.81923999999999997</v>
      </c>
      <c r="Q16" s="248" cm="1">
        <f t="array" ref="Q16">SUM(Q3:Q14*O3:O14)</f>
        <v>1.03755</v>
      </c>
      <c r="R16" s="249" cm="1">
        <f t="array" ref="R16">SUM(R3:R14*$O$3:$O$14)</f>
        <v>1.6</v>
      </c>
      <c r="S16" s="249" cm="1">
        <f t="array" ref="S16">SUM(S3:S14*$O$3:$O$14)</f>
        <v>0.13200000000000001</v>
      </c>
      <c r="T16" s="249" cm="1">
        <f t="array" ref="T16">SUM(T3:T14*$O$3:$O$14)</f>
        <v>2.5320999999999998</v>
      </c>
      <c r="U16" s="249" cm="1">
        <f t="array" ref="U16">SUM(U3:U14*$O$3:$O$14)</f>
        <v>0.7</v>
      </c>
      <c r="V16" s="249" cm="1">
        <f t="array" ref="V16">SUM(V3:V14*$O$3:$O$14)</f>
        <v>1.5099999999999998</v>
      </c>
      <c r="W16" s="249" cm="1">
        <f t="array" ref="W16">SUM(W3:W14*$O$3:$O$14)</f>
        <v>0.7</v>
      </c>
      <c r="X16" s="248" cm="1">
        <f t="array" ref="X16">SUM(X3:X14*$O$3:$O$14)</f>
        <v>1.8770999999999995</v>
      </c>
      <c r="Y16" s="248" cm="1">
        <f t="array" ref="Y16">SUM(Y3:Y14*$O$3:$O$14)</f>
        <v>11990</v>
      </c>
      <c r="Z16" s="248">
        <v>0.34499999999999997</v>
      </c>
      <c r="AA16" s="248" cm="1">
        <f t="array" ref="AA16">SUM(AA3:AA14*$O$3:$O$14)</f>
        <v>5.8999999999999997E-2</v>
      </c>
      <c r="AB16" s="248" cm="1">
        <f t="array" ref="AB16">SUM(AB3:AB14*$O$3:$O$14)</f>
        <v>3.2000000000000001E-2</v>
      </c>
      <c r="AC16" s="248" cm="1">
        <f t="array" ref="AC16">SUM(AC3:AC14*$O$3:$O$14)</f>
        <v>1.1198E-3</v>
      </c>
      <c r="AD16" s="248" cm="1">
        <f t="array" ref="AD16">SUM(AD3:AD14*$O$3:$O$14)</f>
        <v>1.7783052631578946E-2</v>
      </c>
      <c r="AE16" s="81"/>
      <c r="AF16" s="81"/>
      <c r="AG16" s="44"/>
      <c r="AH16" s="43"/>
      <c r="AM16" s="44"/>
      <c r="AS16" s="44"/>
      <c r="AY16" s="44"/>
      <c r="BE16" s="44"/>
      <c r="BK16" s="44"/>
    </row>
    <row r="17" spans="1:63" x14ac:dyDescent="0.25">
      <c r="A17" s="133">
        <v>0.29166666666666702</v>
      </c>
      <c r="B17" s="42" t="s">
        <v>1242</v>
      </c>
      <c r="C17" s="42">
        <f t="shared" si="0"/>
        <v>5</v>
      </c>
      <c r="D17" s="122">
        <v>0.17039999999999997</v>
      </c>
      <c r="E17" s="63">
        <v>0.21599999999999997</v>
      </c>
      <c r="F17" s="63">
        <v>0</v>
      </c>
      <c r="G17" s="63">
        <v>0</v>
      </c>
      <c r="H17" s="63">
        <v>0</v>
      </c>
      <c r="I17" s="63">
        <v>0</v>
      </c>
      <c r="J17" s="63">
        <v>0</v>
      </c>
      <c r="K17" s="63">
        <v>0.35309999999999997</v>
      </c>
      <c r="L17" s="63">
        <v>2500</v>
      </c>
      <c r="M17" s="37"/>
      <c r="N17" s="250" t="s">
        <v>1400</v>
      </c>
      <c r="O17" s="251"/>
      <c r="P17" s="252">
        <v>0.81599999999999995</v>
      </c>
      <c r="Q17" s="252">
        <v>1.04</v>
      </c>
      <c r="R17" s="252">
        <v>1.6</v>
      </c>
      <c r="S17" s="252">
        <v>0.13200000000000001</v>
      </c>
      <c r="T17" s="252">
        <v>2.5</v>
      </c>
      <c r="U17" s="252">
        <v>0.7</v>
      </c>
      <c r="V17" s="252">
        <v>1.51</v>
      </c>
      <c r="W17" s="252">
        <v>0.7</v>
      </c>
      <c r="X17" s="252">
        <v>1.9</v>
      </c>
      <c r="Y17" s="252">
        <v>12000</v>
      </c>
      <c r="Z17" s="253">
        <v>0.34499999999999997</v>
      </c>
      <c r="AA17" s="253"/>
      <c r="AB17" s="253"/>
      <c r="AC17" s="253"/>
      <c r="AD17" s="254"/>
      <c r="AE17" s="81"/>
      <c r="AF17" s="81"/>
      <c r="AG17" s="44"/>
      <c r="AM17" s="44"/>
      <c r="AS17" s="44"/>
      <c r="AY17" s="44"/>
      <c r="BE17" s="44"/>
      <c r="BK17" s="44"/>
    </row>
    <row r="18" spans="1:63" x14ac:dyDescent="0.25">
      <c r="A18" s="133">
        <v>0.3125</v>
      </c>
      <c r="B18" s="42" t="s">
        <v>1242</v>
      </c>
      <c r="C18" s="42">
        <f t="shared" si="0"/>
        <v>5</v>
      </c>
      <c r="D18" s="122">
        <v>0.17039999999999997</v>
      </c>
      <c r="E18" s="63">
        <v>0.21599999999999997</v>
      </c>
      <c r="F18" s="63">
        <v>0</v>
      </c>
      <c r="G18" s="63">
        <v>0</v>
      </c>
      <c r="H18" s="63">
        <v>0</v>
      </c>
      <c r="I18" s="63">
        <v>0</v>
      </c>
      <c r="J18" s="63">
        <v>0</v>
      </c>
      <c r="K18" s="63">
        <v>0.35309999999999997</v>
      </c>
      <c r="L18" s="63">
        <v>2500</v>
      </c>
      <c r="M18" s="37"/>
      <c r="P18" s="138"/>
      <c r="Q18" s="138"/>
      <c r="R18" s="37"/>
      <c r="S18" s="232"/>
      <c r="T18" s="37"/>
      <c r="U18" s="37"/>
      <c r="V18" s="37"/>
      <c r="W18" s="37"/>
      <c r="X18" s="232"/>
      <c r="Y18" s="37"/>
      <c r="Z18" s="81"/>
      <c r="AA18" s="81"/>
      <c r="AB18" s="81"/>
      <c r="AC18" s="81"/>
      <c r="AD18" s="81"/>
      <c r="AE18" s="81"/>
      <c r="AF18" s="81"/>
      <c r="AG18" s="44"/>
      <c r="AM18" s="44"/>
      <c r="AS18" s="44"/>
      <c r="AY18" s="44"/>
      <c r="BE18" s="44"/>
      <c r="BK18" s="44"/>
    </row>
    <row r="19" spans="1:63" x14ac:dyDescent="0.25">
      <c r="A19" s="133">
        <v>0.33333333333333298</v>
      </c>
      <c r="B19" s="42" t="s">
        <v>1242</v>
      </c>
      <c r="C19" s="42">
        <f t="shared" si="0"/>
        <v>5</v>
      </c>
      <c r="D19" s="122">
        <v>0.17039999999999997</v>
      </c>
      <c r="E19" s="63">
        <v>0.21599999999999997</v>
      </c>
      <c r="F19" s="63">
        <v>0</v>
      </c>
      <c r="G19" s="63">
        <v>0</v>
      </c>
      <c r="H19" s="63">
        <v>0</v>
      </c>
      <c r="I19" s="63">
        <v>0</v>
      </c>
      <c r="J19" s="63">
        <v>0</v>
      </c>
      <c r="K19" s="63">
        <v>0.35309999999999997</v>
      </c>
      <c r="L19" s="63">
        <v>2500</v>
      </c>
      <c r="M19" s="37"/>
      <c r="N19" t="s">
        <v>1419</v>
      </c>
      <c r="O19" s="86">
        <f>T16+W16+Z16-R16-(S16-AB16)-X16</f>
        <v>0</v>
      </c>
      <c r="P19" s="138"/>
      <c r="Q19" s="138"/>
      <c r="R19" s="37"/>
      <c r="S19" s="37"/>
      <c r="T19" s="37"/>
      <c r="U19" s="37"/>
      <c r="V19" s="37"/>
      <c r="W19" s="37"/>
      <c r="X19" s="232"/>
      <c r="Y19" s="37"/>
      <c r="Z19" s="81"/>
      <c r="AA19" s="81"/>
      <c r="AB19" s="81"/>
      <c r="AC19" s="81"/>
      <c r="AD19" s="81"/>
      <c r="AE19" s="81"/>
      <c r="AF19" s="81"/>
      <c r="AG19" s="44"/>
      <c r="AM19" s="44"/>
      <c r="AS19" s="44"/>
      <c r="AY19" s="44"/>
      <c r="BE19" s="44"/>
      <c r="BK19" s="44"/>
    </row>
    <row r="20" spans="1:63" x14ac:dyDescent="0.25">
      <c r="A20" s="133">
        <v>0.35416666666666702</v>
      </c>
      <c r="B20" s="42" t="s">
        <v>1242</v>
      </c>
      <c r="C20" s="42">
        <f t="shared" si="0"/>
        <v>5</v>
      </c>
      <c r="D20" s="122">
        <v>0.17039999999999997</v>
      </c>
      <c r="E20" s="63">
        <v>0.21599999999999997</v>
      </c>
      <c r="F20" s="63">
        <v>0</v>
      </c>
      <c r="G20" s="63">
        <v>0</v>
      </c>
      <c r="H20" s="63">
        <v>0</v>
      </c>
      <c r="I20" s="63">
        <v>0</v>
      </c>
      <c r="J20" s="63">
        <v>0</v>
      </c>
      <c r="K20" s="63">
        <v>0.35309999999999997</v>
      </c>
      <c r="L20" s="63">
        <v>2500</v>
      </c>
      <c r="M20" s="37"/>
      <c r="N20" t="s">
        <v>1431</v>
      </c>
      <c r="O20">
        <v>0</v>
      </c>
      <c r="P20" s="37"/>
      <c r="Q20" s="37"/>
      <c r="R20" s="37"/>
      <c r="S20" s="37"/>
      <c r="T20" s="37"/>
      <c r="U20" s="37"/>
      <c r="V20" s="37"/>
      <c r="W20" s="37"/>
      <c r="X20" s="37"/>
      <c r="Y20" s="37"/>
      <c r="Z20" s="37"/>
      <c r="AA20" s="37"/>
      <c r="AB20" s="37"/>
      <c r="AC20" s="37"/>
      <c r="AD20" s="37"/>
      <c r="AE20" s="81"/>
      <c r="AF20" s="81"/>
      <c r="AG20" s="44"/>
      <c r="AM20" s="44"/>
      <c r="AS20" s="44"/>
      <c r="AY20" s="44"/>
      <c r="BE20" s="44"/>
      <c r="BK20" s="44"/>
    </row>
    <row r="21" spans="1:63" x14ac:dyDescent="0.25">
      <c r="A21" s="133">
        <v>0.375</v>
      </c>
      <c r="B21" s="42" t="s">
        <v>1242</v>
      </c>
      <c r="C21" s="42">
        <f t="shared" si="0"/>
        <v>5</v>
      </c>
      <c r="D21" s="122">
        <v>0.17039999999999997</v>
      </c>
      <c r="E21" s="63">
        <v>0.21599999999999997</v>
      </c>
      <c r="F21" s="63">
        <v>0</v>
      </c>
      <c r="G21" s="63">
        <v>0</v>
      </c>
      <c r="H21" s="63">
        <v>0</v>
      </c>
      <c r="I21" s="63">
        <v>0</v>
      </c>
      <c r="J21" s="63">
        <v>0</v>
      </c>
      <c r="K21" s="63">
        <v>0.35309999999999997</v>
      </c>
      <c r="L21" s="63">
        <v>2500</v>
      </c>
      <c r="M21" s="37"/>
      <c r="N21" t="s">
        <v>1430</v>
      </c>
      <c r="O21">
        <v>0</v>
      </c>
      <c r="AE21" s="81"/>
      <c r="AF21" s="81"/>
      <c r="AG21" s="44"/>
      <c r="AM21" s="44"/>
      <c r="AS21" s="44"/>
      <c r="AY21" s="44"/>
      <c r="BE21" s="44"/>
      <c r="BK21" s="44"/>
    </row>
    <row r="22" spans="1:63" x14ac:dyDescent="0.25">
      <c r="A22" s="133">
        <v>0.39583333333333298</v>
      </c>
      <c r="B22" s="42" t="s">
        <v>812</v>
      </c>
      <c r="C22" s="42">
        <f t="shared" si="0"/>
        <v>5</v>
      </c>
      <c r="D22" s="122">
        <v>1.1820000000000002</v>
      </c>
      <c r="E22" s="63">
        <v>1.4954999999999998</v>
      </c>
      <c r="F22" s="63">
        <v>0</v>
      </c>
      <c r="G22" s="63">
        <v>0</v>
      </c>
      <c r="H22" s="63">
        <v>0</v>
      </c>
      <c r="I22" s="63">
        <v>0</v>
      </c>
      <c r="J22" s="63">
        <v>0</v>
      </c>
      <c r="K22" s="63">
        <v>2.6949000000000001</v>
      </c>
      <c r="L22" s="63">
        <v>10292.5</v>
      </c>
      <c r="M22" s="37"/>
      <c r="N22" s="89" t="s">
        <v>1197</v>
      </c>
      <c r="O22" s="91" t="s">
        <v>1198</v>
      </c>
      <c r="AE22" s="81"/>
      <c r="AF22" s="81"/>
      <c r="AG22" s="44"/>
      <c r="AM22" s="44"/>
      <c r="AS22" s="44"/>
      <c r="AY22" s="44"/>
      <c r="BE22" s="44"/>
      <c r="BK22" s="44"/>
    </row>
    <row r="23" spans="1:63" x14ac:dyDescent="0.25">
      <c r="A23" s="133">
        <v>0.41666666666666702</v>
      </c>
      <c r="B23" s="42" t="s">
        <v>813</v>
      </c>
      <c r="C23" s="42">
        <f t="shared" si="0"/>
        <v>5</v>
      </c>
      <c r="D23" s="122">
        <v>0.17039999999999997</v>
      </c>
      <c r="E23" s="63">
        <v>0.21599999999999997</v>
      </c>
      <c r="F23" s="63">
        <v>0</v>
      </c>
      <c r="G23" s="63">
        <v>0</v>
      </c>
      <c r="H23" s="63">
        <v>1.9396124999999997</v>
      </c>
      <c r="I23" s="63">
        <v>0.50000000000000011</v>
      </c>
      <c r="J23" s="63">
        <v>0</v>
      </c>
      <c r="K23" s="63">
        <v>1.4061000000000001</v>
      </c>
      <c r="L23" s="63">
        <v>5873.75</v>
      </c>
      <c r="M23" s="37"/>
      <c r="N23" s="90" t="s">
        <v>1196</v>
      </c>
      <c r="O23" s="120">
        <v>0.7</v>
      </c>
      <c r="AE23" s="81"/>
      <c r="AF23" s="81"/>
      <c r="AG23" s="44"/>
      <c r="AM23" s="44"/>
      <c r="AS23" s="44"/>
      <c r="AY23" s="44"/>
      <c r="BE23" s="44"/>
      <c r="BK23" s="44"/>
    </row>
    <row r="24" spans="1:63" x14ac:dyDescent="0.25">
      <c r="A24" s="133">
        <v>0.4375</v>
      </c>
      <c r="B24" s="42" t="s">
        <v>813</v>
      </c>
      <c r="C24" s="42">
        <f t="shared" si="0"/>
        <v>5</v>
      </c>
      <c r="D24" s="122">
        <v>0.17039999999999997</v>
      </c>
      <c r="E24" s="63">
        <v>0.21599999999999997</v>
      </c>
      <c r="F24" s="63">
        <v>0</v>
      </c>
      <c r="G24" s="63">
        <v>0</v>
      </c>
      <c r="H24" s="63">
        <v>1.9396124999999997</v>
      </c>
      <c r="I24" s="63">
        <v>0.50000000000000011</v>
      </c>
      <c r="J24" s="63">
        <v>0</v>
      </c>
      <c r="K24" s="63">
        <v>1.4061000000000001</v>
      </c>
      <c r="L24" s="63">
        <v>5873.75</v>
      </c>
      <c r="M24" s="37"/>
      <c r="N24" t="s">
        <v>1201</v>
      </c>
      <c r="O24" s="101">
        <v>15.2</v>
      </c>
      <c r="AE24" s="81"/>
      <c r="AF24" s="81"/>
      <c r="AG24" s="44"/>
      <c r="AM24" s="44"/>
      <c r="AS24" s="44"/>
      <c r="AY24" s="44"/>
      <c r="BE24" s="44"/>
      <c r="BK24" s="44"/>
    </row>
    <row r="25" spans="1:63" x14ac:dyDescent="0.25">
      <c r="A25" s="133">
        <v>0.45833333333333298</v>
      </c>
      <c r="B25" s="42" t="s">
        <v>815</v>
      </c>
      <c r="C25" s="42">
        <f t="shared" si="0"/>
        <v>5</v>
      </c>
      <c r="D25" s="122">
        <v>0.17039999999999997</v>
      </c>
      <c r="E25" s="63">
        <v>0.21599999999999997</v>
      </c>
      <c r="F25" s="63">
        <v>0</v>
      </c>
      <c r="G25" s="63">
        <v>0</v>
      </c>
      <c r="H25" s="63">
        <v>3.4788666666666663</v>
      </c>
      <c r="I25" s="63">
        <v>0.50000000000000011</v>
      </c>
      <c r="J25" s="63">
        <v>2.8195055555555553</v>
      </c>
      <c r="K25" s="63">
        <v>0.35309999999999997</v>
      </c>
      <c r="L25" s="63">
        <v>2500</v>
      </c>
      <c r="M25" s="37"/>
      <c r="AE25" s="81"/>
      <c r="AF25" s="81"/>
      <c r="AG25" s="44"/>
      <c r="AM25" s="44"/>
      <c r="AS25" s="44"/>
      <c r="AY25" s="44"/>
      <c r="BE25" s="44"/>
      <c r="BK25" s="44"/>
    </row>
    <row r="26" spans="1:63" x14ac:dyDescent="0.25">
      <c r="A26" s="133">
        <v>0.47916666666666702</v>
      </c>
      <c r="B26" s="42" t="s">
        <v>815</v>
      </c>
      <c r="C26" s="42">
        <f t="shared" si="0"/>
        <v>5</v>
      </c>
      <c r="D26" s="122">
        <v>0.17039999999999997</v>
      </c>
      <c r="E26" s="63">
        <v>0.21599999999999997</v>
      </c>
      <c r="F26" s="63">
        <v>0</v>
      </c>
      <c r="G26" s="63">
        <v>0</v>
      </c>
      <c r="H26" s="63">
        <v>3.4788666666666663</v>
      </c>
      <c r="I26" s="63">
        <v>0.50000000000000011</v>
      </c>
      <c r="J26" s="63">
        <v>2.8195055555555553</v>
      </c>
      <c r="K26" s="63">
        <v>0.35309999999999997</v>
      </c>
      <c r="L26" s="63">
        <v>2500</v>
      </c>
      <c r="M26" s="37"/>
      <c r="AE26" s="37"/>
      <c r="AF26" s="37"/>
      <c r="AG26" s="44"/>
      <c r="AM26" s="44"/>
      <c r="AS26" s="44"/>
      <c r="AY26" s="44"/>
      <c r="BE26" s="44"/>
      <c r="BK26" s="44"/>
    </row>
    <row r="27" spans="1:63" x14ac:dyDescent="0.25">
      <c r="A27" s="133">
        <v>0.5</v>
      </c>
      <c r="B27" s="42" t="s">
        <v>811</v>
      </c>
      <c r="C27" s="42">
        <f t="shared" si="0"/>
        <v>5</v>
      </c>
      <c r="D27" s="122">
        <v>0.17039999999999997</v>
      </c>
      <c r="E27" s="63">
        <v>0.21599999999999997</v>
      </c>
      <c r="F27" s="63">
        <v>0</v>
      </c>
      <c r="G27" s="63">
        <v>0</v>
      </c>
      <c r="H27" s="63">
        <v>0</v>
      </c>
      <c r="I27" s="63">
        <v>0</v>
      </c>
      <c r="J27" s="63">
        <v>0</v>
      </c>
      <c r="K27" s="63">
        <v>0.35309999999999997</v>
      </c>
      <c r="L27" s="63">
        <v>2500</v>
      </c>
      <c r="M27" s="37"/>
      <c r="AE27" s="37"/>
      <c r="AF27" s="37"/>
      <c r="AG27" s="44"/>
      <c r="AM27" s="44"/>
      <c r="AS27" s="44"/>
      <c r="AY27" s="44"/>
      <c r="BE27" s="44"/>
      <c r="BK27" s="44"/>
    </row>
    <row r="28" spans="1:63" x14ac:dyDescent="0.25">
      <c r="A28" s="133">
        <v>0.52083333333333304</v>
      </c>
      <c r="B28" s="42" t="s">
        <v>811</v>
      </c>
      <c r="C28" s="42">
        <f t="shared" si="0"/>
        <v>5</v>
      </c>
      <c r="D28" s="122">
        <v>0.17039999999999997</v>
      </c>
      <c r="E28" s="63">
        <v>0.21599999999999997</v>
      </c>
      <c r="F28" s="63">
        <v>0</v>
      </c>
      <c r="G28" s="63">
        <v>0</v>
      </c>
      <c r="H28" s="63">
        <v>0</v>
      </c>
      <c r="I28" s="63">
        <v>0</v>
      </c>
      <c r="J28" s="63">
        <v>0</v>
      </c>
      <c r="K28" s="63">
        <v>0.35309999999999997</v>
      </c>
      <c r="L28" s="63">
        <v>2500</v>
      </c>
      <c r="M28" s="37"/>
      <c r="N28" s="270"/>
      <c r="O28" s="270"/>
      <c r="AE28" s="37"/>
      <c r="AF28" s="37"/>
      <c r="AG28" s="44"/>
      <c r="AM28" s="44"/>
      <c r="AS28" s="44"/>
      <c r="AY28" s="44"/>
      <c r="BE28" s="44"/>
      <c r="BK28" s="44"/>
    </row>
    <row r="29" spans="1:63" x14ac:dyDescent="0.25">
      <c r="A29" s="133">
        <v>0.54166666666666696</v>
      </c>
      <c r="B29" s="42" t="s">
        <v>811</v>
      </c>
      <c r="C29" s="42">
        <f t="shared" si="0"/>
        <v>5</v>
      </c>
      <c r="D29" s="122">
        <v>0.17039999999999997</v>
      </c>
      <c r="E29" s="63">
        <v>0.21599999999999997</v>
      </c>
      <c r="F29" s="63">
        <v>0</v>
      </c>
      <c r="G29" s="63">
        <v>0</v>
      </c>
      <c r="H29" s="63">
        <v>0</v>
      </c>
      <c r="I29" s="63">
        <v>0</v>
      </c>
      <c r="J29" s="63">
        <v>0</v>
      </c>
      <c r="K29" s="63">
        <v>0.35309999999999997</v>
      </c>
      <c r="L29" s="63">
        <v>2500</v>
      </c>
      <c r="M29" s="37"/>
      <c r="AE29" s="37"/>
      <c r="AF29" s="37"/>
      <c r="AG29" s="44"/>
      <c r="AM29" s="44"/>
      <c r="AS29" s="44"/>
      <c r="AY29" s="44"/>
      <c r="BE29" s="44"/>
      <c r="BK29" s="44"/>
    </row>
    <row r="30" spans="1:63" x14ac:dyDescent="0.25">
      <c r="A30" s="133">
        <v>0.5625</v>
      </c>
      <c r="B30" s="42" t="s">
        <v>811</v>
      </c>
      <c r="C30" s="42">
        <f t="shared" si="0"/>
        <v>5</v>
      </c>
      <c r="D30" s="122">
        <v>0.17039999999999997</v>
      </c>
      <c r="E30" s="63">
        <v>0.21599999999999997</v>
      </c>
      <c r="F30" s="63">
        <v>0</v>
      </c>
      <c r="G30" s="63">
        <v>0</v>
      </c>
      <c r="H30" s="63">
        <v>0</v>
      </c>
      <c r="I30" s="63">
        <v>0</v>
      </c>
      <c r="J30" s="63">
        <v>0</v>
      </c>
      <c r="K30" s="63">
        <v>0.35309999999999997</v>
      </c>
      <c r="L30" s="63">
        <v>2500</v>
      </c>
      <c r="M30" s="37"/>
      <c r="AE30" s="37"/>
      <c r="AF30" s="37"/>
      <c r="AG30" s="44"/>
      <c r="AM30" s="44"/>
      <c r="AS30" s="44"/>
      <c r="AY30" s="44"/>
      <c r="BE30" s="44"/>
      <c r="BK30" s="44"/>
    </row>
    <row r="31" spans="1:63" x14ac:dyDescent="0.25">
      <c r="A31" s="133">
        <v>0.58333333333333304</v>
      </c>
      <c r="B31" s="42" t="s">
        <v>811</v>
      </c>
      <c r="C31" s="42">
        <f t="shared" si="0"/>
        <v>5</v>
      </c>
      <c r="D31" s="122">
        <v>0.17039999999999997</v>
      </c>
      <c r="E31" s="63">
        <v>0.21599999999999997</v>
      </c>
      <c r="F31" s="63">
        <v>0</v>
      </c>
      <c r="G31" s="63">
        <v>0</v>
      </c>
      <c r="H31" s="63">
        <v>0</v>
      </c>
      <c r="I31" s="63">
        <v>0</v>
      </c>
      <c r="J31" s="63">
        <v>0</v>
      </c>
      <c r="K31" s="63">
        <v>0.35309999999999997</v>
      </c>
      <c r="L31" s="63">
        <v>2500</v>
      </c>
      <c r="M31" s="37"/>
      <c r="AE31" s="37"/>
      <c r="AF31" s="37"/>
      <c r="AG31" s="44"/>
      <c r="AM31" s="44"/>
      <c r="AS31" s="44"/>
      <c r="AY31" s="44"/>
      <c r="BE31" s="44"/>
      <c r="BK31" s="44"/>
    </row>
    <row r="32" spans="1:63" x14ac:dyDescent="0.25">
      <c r="A32" s="133">
        <v>0.60416666666666696</v>
      </c>
      <c r="B32" s="42" t="s">
        <v>812</v>
      </c>
      <c r="C32" s="42">
        <f t="shared" si="0"/>
        <v>5</v>
      </c>
      <c r="D32" s="122">
        <v>1.1820000000000002</v>
      </c>
      <c r="E32" s="63">
        <v>1.4954999999999998</v>
      </c>
      <c r="F32" s="63">
        <v>0</v>
      </c>
      <c r="G32" s="63">
        <v>0</v>
      </c>
      <c r="H32" s="63">
        <v>0</v>
      </c>
      <c r="I32" s="63">
        <v>0</v>
      </c>
      <c r="J32" s="63">
        <v>0</v>
      </c>
      <c r="K32" s="63">
        <v>2.6949000000000001</v>
      </c>
      <c r="L32" s="63">
        <v>10292.5</v>
      </c>
      <c r="M32" s="37"/>
      <c r="AE32" s="37"/>
      <c r="AF32" s="37"/>
      <c r="AG32" s="44"/>
      <c r="AM32" s="44"/>
      <c r="AS32" s="44"/>
      <c r="AY32" s="44"/>
      <c r="BE32" s="44"/>
      <c r="BK32" s="44"/>
    </row>
    <row r="33" spans="1:63" x14ac:dyDescent="0.25">
      <c r="A33" s="133">
        <v>0.625</v>
      </c>
      <c r="B33" s="42" t="s">
        <v>813</v>
      </c>
      <c r="C33" s="42">
        <f t="shared" si="0"/>
        <v>5</v>
      </c>
      <c r="D33" s="122">
        <v>0.17039999999999997</v>
      </c>
      <c r="E33" s="63">
        <v>0.21599999999999997</v>
      </c>
      <c r="F33" s="63">
        <v>0</v>
      </c>
      <c r="G33" s="63">
        <v>0</v>
      </c>
      <c r="H33" s="63">
        <v>1.9396124999999997</v>
      </c>
      <c r="I33" s="63">
        <v>0.50000000000000011</v>
      </c>
      <c r="J33" s="63">
        <v>0</v>
      </c>
      <c r="K33" s="63">
        <v>1.4061000000000001</v>
      </c>
      <c r="L33" s="63">
        <v>5873.75</v>
      </c>
      <c r="M33" s="37"/>
      <c r="AE33" s="37"/>
      <c r="AF33" s="37"/>
      <c r="AG33" s="44"/>
      <c r="AM33" s="44"/>
      <c r="AS33" s="44"/>
      <c r="AY33" s="44"/>
      <c r="BE33" s="44"/>
      <c r="BK33" s="44"/>
    </row>
    <row r="34" spans="1:63" x14ac:dyDescent="0.25">
      <c r="A34" s="133">
        <v>0.64583333333333304</v>
      </c>
      <c r="B34" s="42" t="s">
        <v>813</v>
      </c>
      <c r="C34" s="42">
        <f t="shared" si="0"/>
        <v>5</v>
      </c>
      <c r="D34" s="122">
        <v>0.17039999999999997</v>
      </c>
      <c r="E34" s="63">
        <v>0.21599999999999997</v>
      </c>
      <c r="F34" s="63">
        <v>0</v>
      </c>
      <c r="G34" s="63">
        <v>0</v>
      </c>
      <c r="H34" s="63">
        <v>1.9396124999999997</v>
      </c>
      <c r="I34" s="63">
        <v>0.50000000000000011</v>
      </c>
      <c r="J34" s="63">
        <v>0</v>
      </c>
      <c r="K34" s="63">
        <v>1.4061000000000001</v>
      </c>
      <c r="L34" s="63">
        <v>5873.75</v>
      </c>
      <c r="M34" s="37"/>
      <c r="AE34" s="37"/>
      <c r="AF34" s="37"/>
      <c r="AG34" s="44"/>
      <c r="AM34" s="44"/>
      <c r="AS34" s="44"/>
      <c r="AY34" s="44"/>
      <c r="BE34" s="44"/>
      <c r="BK34" s="44"/>
    </row>
    <row r="35" spans="1:63" x14ac:dyDescent="0.25">
      <c r="A35" s="133">
        <v>0.66666666666666696</v>
      </c>
      <c r="B35" s="42" t="s">
        <v>811</v>
      </c>
      <c r="C35" s="42">
        <f t="shared" si="0"/>
        <v>5</v>
      </c>
      <c r="D35" s="122">
        <v>0.17039999999999997</v>
      </c>
      <c r="E35" s="63">
        <v>0.21599999999999997</v>
      </c>
      <c r="F35" s="63">
        <v>0</v>
      </c>
      <c r="G35" s="63">
        <v>0</v>
      </c>
      <c r="H35" s="63">
        <v>0</v>
      </c>
      <c r="I35" s="63">
        <v>0</v>
      </c>
      <c r="J35" s="63">
        <v>0</v>
      </c>
      <c r="K35" s="63">
        <v>0.35309999999999997</v>
      </c>
      <c r="L35" s="63">
        <v>2500</v>
      </c>
      <c r="M35" s="37"/>
      <c r="AE35" s="37"/>
      <c r="AF35" s="37"/>
      <c r="AG35" s="44"/>
      <c r="AM35" s="44"/>
      <c r="AS35" s="44"/>
      <c r="AY35" s="44"/>
      <c r="BE35" s="44"/>
      <c r="BK35" s="44"/>
    </row>
    <row r="36" spans="1:63" x14ac:dyDescent="0.25">
      <c r="A36" s="133">
        <v>0.6875</v>
      </c>
      <c r="B36" s="42" t="s">
        <v>811</v>
      </c>
      <c r="C36" s="42">
        <f t="shared" si="0"/>
        <v>5</v>
      </c>
      <c r="D36" s="122">
        <v>0.17039999999999997</v>
      </c>
      <c r="E36" s="63">
        <v>0.21599999999999997</v>
      </c>
      <c r="F36" s="63">
        <v>0</v>
      </c>
      <c r="G36" s="63">
        <v>0</v>
      </c>
      <c r="H36" s="63">
        <v>0</v>
      </c>
      <c r="I36" s="63">
        <v>0</v>
      </c>
      <c r="J36" s="63">
        <v>0</v>
      </c>
      <c r="K36" s="63">
        <v>0.35309999999999997</v>
      </c>
      <c r="L36" s="63">
        <v>2500</v>
      </c>
      <c r="M36" s="37"/>
      <c r="AE36" s="37"/>
      <c r="AF36" s="37"/>
      <c r="AG36" s="44"/>
      <c r="AM36" s="44"/>
      <c r="AS36" s="44"/>
      <c r="AY36" s="44"/>
      <c r="BE36" s="44"/>
      <c r="BK36" s="44"/>
    </row>
    <row r="37" spans="1:63" x14ac:dyDescent="0.25">
      <c r="A37" s="133">
        <v>0.70833333333333304</v>
      </c>
      <c r="B37" s="42" t="s">
        <v>816</v>
      </c>
      <c r="C37" s="42">
        <f t="shared" si="0"/>
        <v>5</v>
      </c>
      <c r="D37" s="122">
        <v>0.17039999999999997</v>
      </c>
      <c r="E37" s="63">
        <v>0.21599999999999997</v>
      </c>
      <c r="F37" s="63">
        <v>0</v>
      </c>
      <c r="G37" s="63">
        <v>0</v>
      </c>
      <c r="H37" s="63">
        <v>3.4788666666666663</v>
      </c>
      <c r="I37" s="63">
        <v>0.50000000000000011</v>
      </c>
      <c r="J37" s="63">
        <v>2.8195055555555553</v>
      </c>
      <c r="K37" s="63">
        <v>0.35309999999999997</v>
      </c>
      <c r="L37" s="63">
        <v>2500</v>
      </c>
      <c r="M37" s="37"/>
      <c r="AE37" s="37"/>
      <c r="AF37" s="37"/>
      <c r="AG37" s="44"/>
      <c r="AM37" s="44"/>
      <c r="AS37" s="44"/>
      <c r="AY37" s="44"/>
      <c r="BE37" s="44"/>
      <c r="BK37" s="44"/>
    </row>
    <row r="38" spans="1:63" x14ac:dyDescent="0.25">
      <c r="A38" s="133">
        <v>0.72916666666666696</v>
      </c>
      <c r="B38" s="42" t="s">
        <v>816</v>
      </c>
      <c r="C38" s="42">
        <f t="shared" si="0"/>
        <v>5</v>
      </c>
      <c r="D38" s="122">
        <v>0.17039999999999997</v>
      </c>
      <c r="E38" s="63">
        <v>0.21599999999999997</v>
      </c>
      <c r="F38" s="63">
        <v>0</v>
      </c>
      <c r="G38" s="63">
        <v>0</v>
      </c>
      <c r="H38" s="63">
        <v>3.4788666666666663</v>
      </c>
      <c r="I38" s="63">
        <v>0.50000000000000011</v>
      </c>
      <c r="J38" s="63">
        <v>2.8195055555555553</v>
      </c>
      <c r="K38" s="63">
        <v>0.35309999999999997</v>
      </c>
      <c r="L38" s="63">
        <v>2500</v>
      </c>
      <c r="M38" s="37"/>
      <c r="AE38" s="37"/>
      <c r="AF38" s="37"/>
      <c r="AG38" s="44"/>
      <c r="AM38" s="44"/>
      <c r="AS38" s="44"/>
      <c r="AY38" s="44"/>
      <c r="BE38" s="44"/>
      <c r="BK38" s="44"/>
    </row>
    <row r="39" spans="1:63" x14ac:dyDescent="0.25">
      <c r="A39" s="133">
        <v>0.75</v>
      </c>
      <c r="B39" s="42" t="s">
        <v>1242</v>
      </c>
      <c r="C39" s="42">
        <f t="shared" si="0"/>
        <v>5</v>
      </c>
      <c r="D39" s="122">
        <v>0.17039999999999997</v>
      </c>
      <c r="E39" s="63">
        <v>0.21599999999999997</v>
      </c>
      <c r="F39" s="63">
        <v>0</v>
      </c>
      <c r="G39" s="63">
        <v>0</v>
      </c>
      <c r="H39" s="63">
        <v>0</v>
      </c>
      <c r="I39" s="63">
        <v>0</v>
      </c>
      <c r="J39" s="63">
        <v>0</v>
      </c>
      <c r="K39" s="63">
        <v>0.35309999999999997</v>
      </c>
      <c r="L39" s="63">
        <v>2500</v>
      </c>
      <c r="M39" s="37"/>
      <c r="AE39" s="37"/>
      <c r="AF39" s="37"/>
      <c r="AG39" s="44"/>
      <c r="AM39" s="44"/>
      <c r="AS39" s="44"/>
      <c r="AY39" s="44"/>
      <c r="BE39" s="44"/>
      <c r="BK39" s="44"/>
    </row>
    <row r="40" spans="1:63" x14ac:dyDescent="0.25">
      <c r="A40" s="133">
        <v>0.77083333333333304</v>
      </c>
      <c r="B40" s="42" t="s">
        <v>1242</v>
      </c>
      <c r="C40" s="42">
        <f t="shared" si="0"/>
        <v>5</v>
      </c>
      <c r="D40" s="122">
        <v>0.17039999999999997</v>
      </c>
      <c r="E40" s="63">
        <v>0.21599999999999997</v>
      </c>
      <c r="F40" s="63">
        <v>0</v>
      </c>
      <c r="G40" s="63">
        <v>0</v>
      </c>
      <c r="H40" s="63">
        <v>0</v>
      </c>
      <c r="I40" s="63">
        <v>0</v>
      </c>
      <c r="J40" s="63">
        <v>0</v>
      </c>
      <c r="K40" s="63">
        <v>0.35309999999999997</v>
      </c>
      <c r="L40" s="63">
        <v>2500</v>
      </c>
      <c r="M40" s="37"/>
      <c r="AE40" s="37"/>
      <c r="AF40" s="37"/>
      <c r="AG40" s="44"/>
      <c r="AM40" s="44"/>
      <c r="AS40" s="44"/>
      <c r="AY40" s="44"/>
      <c r="BE40" s="44"/>
      <c r="BK40" s="44"/>
    </row>
    <row r="41" spans="1:63" x14ac:dyDescent="0.25">
      <c r="A41" s="133">
        <v>0.79166666666666696</v>
      </c>
      <c r="B41" s="42" t="s">
        <v>1242</v>
      </c>
      <c r="C41" s="42">
        <f t="shared" si="0"/>
        <v>5</v>
      </c>
      <c r="D41" s="122">
        <v>0.17039999999999997</v>
      </c>
      <c r="E41" s="63">
        <v>0.21599999999999997</v>
      </c>
      <c r="F41" s="63">
        <v>0</v>
      </c>
      <c r="G41" s="63">
        <v>0</v>
      </c>
      <c r="H41" s="63">
        <v>0</v>
      </c>
      <c r="I41" s="63">
        <v>0</v>
      </c>
      <c r="J41" s="63">
        <v>0</v>
      </c>
      <c r="K41" s="63">
        <v>0.35309999999999997</v>
      </c>
      <c r="L41" s="63">
        <v>2500</v>
      </c>
      <c r="M41" s="37"/>
      <c r="AE41" s="37"/>
      <c r="AF41" s="37"/>
      <c r="AG41" s="44"/>
      <c r="AM41" s="44"/>
      <c r="AS41" s="44"/>
      <c r="AY41" s="44"/>
      <c r="BE41" s="44"/>
      <c r="BK41" s="44"/>
    </row>
    <row r="42" spans="1:63" x14ac:dyDescent="0.25">
      <c r="A42" s="133">
        <v>0.8125</v>
      </c>
      <c r="B42" s="42" t="s">
        <v>1242</v>
      </c>
      <c r="C42" s="42">
        <f t="shared" si="0"/>
        <v>5</v>
      </c>
      <c r="D42" s="122">
        <v>0.17039999999999997</v>
      </c>
      <c r="E42" s="63">
        <v>0.21599999999999997</v>
      </c>
      <c r="F42" s="63">
        <v>0</v>
      </c>
      <c r="G42" s="63">
        <v>0</v>
      </c>
      <c r="H42" s="63">
        <v>0</v>
      </c>
      <c r="I42" s="63">
        <v>0</v>
      </c>
      <c r="J42" s="63">
        <v>0</v>
      </c>
      <c r="K42" s="63">
        <v>0.35309999999999997</v>
      </c>
      <c r="L42" s="63">
        <v>2500</v>
      </c>
      <c r="M42" s="37"/>
      <c r="AE42" s="37"/>
      <c r="AF42" s="37"/>
      <c r="AG42" s="44"/>
      <c r="AM42" s="44"/>
      <c r="AS42" s="44"/>
      <c r="AY42" s="44"/>
      <c r="BE42" s="44"/>
      <c r="BK42" s="44"/>
    </row>
    <row r="43" spans="1:63" x14ac:dyDescent="0.25">
      <c r="A43" s="133">
        <v>0.83333333333333304</v>
      </c>
      <c r="B43" s="42" t="s">
        <v>809</v>
      </c>
      <c r="C43" s="42">
        <f t="shared" si="0"/>
        <v>5</v>
      </c>
      <c r="D43" s="122">
        <v>0.17039999999999997</v>
      </c>
      <c r="E43" s="63">
        <v>0.21599999999999997</v>
      </c>
      <c r="F43" s="63">
        <v>2.6666666666666665</v>
      </c>
      <c r="G43" s="63">
        <v>0</v>
      </c>
      <c r="H43" s="63">
        <v>0</v>
      </c>
      <c r="I43" s="63">
        <v>0</v>
      </c>
      <c r="J43" s="63">
        <v>0</v>
      </c>
      <c r="K43" s="63">
        <v>0.35309999999999997</v>
      </c>
      <c r="L43" s="63">
        <v>2500</v>
      </c>
      <c r="M43" s="37"/>
      <c r="AE43" s="37"/>
      <c r="AF43" s="37"/>
      <c r="AG43" s="44"/>
      <c r="AM43" s="44"/>
      <c r="AS43" s="44"/>
      <c r="AY43" s="44"/>
      <c r="BE43" s="44"/>
      <c r="BK43" s="44"/>
    </row>
    <row r="44" spans="1:63" x14ac:dyDescent="0.25">
      <c r="A44" s="133">
        <v>0.85416666666666696</v>
      </c>
      <c r="B44" s="42" t="s">
        <v>809</v>
      </c>
      <c r="C44" s="42">
        <f t="shared" si="0"/>
        <v>5</v>
      </c>
      <c r="D44" s="122">
        <v>0.17039999999999997</v>
      </c>
      <c r="E44" s="63">
        <v>0.21599999999999997</v>
      </c>
      <c r="F44" s="63">
        <v>2.6666666666666665</v>
      </c>
      <c r="G44" s="63">
        <v>0</v>
      </c>
      <c r="H44" s="63">
        <v>0</v>
      </c>
      <c r="I44" s="63">
        <v>0</v>
      </c>
      <c r="J44" s="63">
        <v>0</v>
      </c>
      <c r="K44" s="63">
        <v>0.35309999999999997</v>
      </c>
      <c r="L44" s="63">
        <v>2500</v>
      </c>
      <c r="M44" s="37"/>
      <c r="AE44" s="37"/>
      <c r="AF44" s="37"/>
      <c r="AG44" s="44"/>
      <c r="AM44" s="44"/>
      <c r="AS44" s="44"/>
      <c r="AY44" s="44"/>
      <c r="BE44" s="44"/>
      <c r="BK44" s="44"/>
    </row>
    <row r="45" spans="1:63" x14ac:dyDescent="0.25">
      <c r="A45" s="133">
        <v>0.875</v>
      </c>
      <c r="B45" s="42" t="s">
        <v>807</v>
      </c>
      <c r="C45" s="42">
        <f t="shared" si="0"/>
        <v>5</v>
      </c>
      <c r="D45" s="122">
        <v>0.10799999999999998</v>
      </c>
      <c r="E45" s="63">
        <v>0.13650000000000001</v>
      </c>
      <c r="F45" s="63">
        <v>0</v>
      </c>
      <c r="G45" s="63">
        <v>0</v>
      </c>
      <c r="H45" s="63">
        <v>0</v>
      </c>
      <c r="I45" s="63">
        <v>0</v>
      </c>
      <c r="J45" s="63">
        <v>0</v>
      </c>
      <c r="K45" s="63">
        <v>0.189</v>
      </c>
      <c r="L45" s="63">
        <v>1585</v>
      </c>
      <c r="M45" s="37"/>
      <c r="AE45" s="37"/>
      <c r="AF45" s="37"/>
      <c r="AG45" s="44"/>
      <c r="AM45" s="44"/>
      <c r="AS45" s="44"/>
      <c r="AY45" s="44"/>
      <c r="BE45" s="44"/>
      <c r="BK45" s="44"/>
    </row>
    <row r="46" spans="1:63" x14ac:dyDescent="0.25">
      <c r="A46" s="133">
        <v>0.89583333333333304</v>
      </c>
      <c r="B46" s="42" t="s">
        <v>807</v>
      </c>
      <c r="C46" s="42">
        <f t="shared" si="0"/>
        <v>5</v>
      </c>
      <c r="D46" s="122">
        <v>0.10799999999999998</v>
      </c>
      <c r="E46" s="63">
        <v>0.13650000000000001</v>
      </c>
      <c r="F46" s="63">
        <v>0</v>
      </c>
      <c r="G46" s="63">
        <v>0</v>
      </c>
      <c r="H46" s="63">
        <v>0</v>
      </c>
      <c r="I46" s="63">
        <v>0</v>
      </c>
      <c r="J46" s="63">
        <v>0</v>
      </c>
      <c r="K46" s="63">
        <v>0.189</v>
      </c>
      <c r="L46" s="63">
        <v>1585</v>
      </c>
      <c r="M46" s="37"/>
      <c r="N46" s="37"/>
      <c r="O46" s="37"/>
      <c r="P46" s="37"/>
      <c r="Q46" s="37"/>
      <c r="R46" s="37"/>
      <c r="S46" s="37"/>
      <c r="T46" s="37"/>
      <c r="U46" s="37"/>
      <c r="V46" s="37"/>
      <c r="W46" s="37"/>
      <c r="X46" s="37"/>
      <c r="Y46" s="37"/>
      <c r="Z46" s="37"/>
      <c r="AA46" s="37"/>
      <c r="AB46" s="37"/>
      <c r="AC46" s="37"/>
      <c r="AD46" s="37"/>
      <c r="AE46" s="37"/>
      <c r="AF46" s="37"/>
      <c r="AG46" s="44"/>
      <c r="AM46" s="44"/>
      <c r="AS46" s="44"/>
      <c r="AY46" s="44"/>
      <c r="BE46" s="44"/>
      <c r="BK46" s="44"/>
    </row>
    <row r="47" spans="1:63" x14ac:dyDescent="0.25">
      <c r="A47" s="133">
        <v>0.91666666666666696</v>
      </c>
      <c r="B47" s="42" t="s">
        <v>807</v>
      </c>
      <c r="C47" s="42">
        <f t="shared" si="0"/>
        <v>5</v>
      </c>
      <c r="D47" s="122">
        <v>0.10799999999999998</v>
      </c>
      <c r="E47" s="63">
        <v>0.13650000000000001</v>
      </c>
      <c r="F47" s="63">
        <v>0</v>
      </c>
      <c r="G47" s="63">
        <v>0</v>
      </c>
      <c r="H47" s="63">
        <v>0</v>
      </c>
      <c r="I47" s="63">
        <v>0</v>
      </c>
      <c r="J47" s="63">
        <v>0</v>
      </c>
      <c r="K47" s="63">
        <v>0.189</v>
      </c>
      <c r="L47" s="63">
        <v>1585</v>
      </c>
      <c r="M47" s="37"/>
      <c r="N47" s="37"/>
      <c r="O47" s="37"/>
      <c r="P47" s="37"/>
      <c r="Q47" s="37"/>
      <c r="R47" s="37"/>
      <c r="S47" s="37"/>
      <c r="T47" s="37"/>
      <c r="U47" s="37"/>
      <c r="V47" s="37"/>
      <c r="W47" s="37"/>
      <c r="X47" s="37"/>
      <c r="Y47" s="37"/>
      <c r="Z47" s="37"/>
      <c r="AA47" s="37"/>
      <c r="AB47" s="37"/>
      <c r="AC47" s="37"/>
      <c r="AD47" s="37"/>
      <c r="AE47" s="37"/>
      <c r="AF47" s="37"/>
      <c r="AG47" s="44"/>
      <c r="AM47" s="44"/>
      <c r="AS47" s="44"/>
      <c r="AY47" s="44"/>
      <c r="BE47" s="44"/>
      <c r="BK47" s="44"/>
    </row>
    <row r="48" spans="1:63" x14ac:dyDescent="0.25">
      <c r="A48" s="133">
        <v>0.9375</v>
      </c>
      <c r="B48" s="42" t="s">
        <v>807</v>
      </c>
      <c r="C48" s="42">
        <f t="shared" si="0"/>
        <v>5</v>
      </c>
      <c r="D48" s="122">
        <v>0.10799999999999998</v>
      </c>
      <c r="E48" s="63">
        <v>0.13650000000000001</v>
      </c>
      <c r="F48" s="63">
        <v>0</v>
      </c>
      <c r="G48" s="63">
        <v>0</v>
      </c>
      <c r="H48" s="63">
        <v>0</v>
      </c>
      <c r="I48" s="63">
        <v>0</v>
      </c>
      <c r="J48" s="63">
        <v>0</v>
      </c>
      <c r="K48" s="63">
        <v>0.189</v>
      </c>
      <c r="L48" s="63">
        <v>1585</v>
      </c>
      <c r="M48" s="37"/>
      <c r="N48" s="37"/>
      <c r="O48" s="37"/>
      <c r="P48" s="37"/>
      <c r="Q48" s="37"/>
      <c r="R48" s="37"/>
      <c r="S48" s="37"/>
      <c r="T48" s="37"/>
      <c r="U48" s="37"/>
      <c r="V48" s="37"/>
      <c r="W48" s="37"/>
      <c r="X48" s="37"/>
      <c r="Y48" s="37"/>
      <c r="Z48" s="37"/>
      <c r="AA48" s="37"/>
      <c r="AB48" s="37"/>
      <c r="AC48" s="37"/>
      <c r="AD48" s="37"/>
      <c r="AE48" s="37"/>
      <c r="AF48" s="37"/>
      <c r="AG48" s="44"/>
      <c r="AM48" s="44"/>
      <c r="AS48" s="44"/>
      <c r="AY48" s="44"/>
      <c r="BE48" s="44"/>
      <c r="BK48" s="44"/>
    </row>
    <row r="49" spans="1:63" x14ac:dyDescent="0.25">
      <c r="A49" s="133">
        <v>0.95833333333333304</v>
      </c>
      <c r="B49" s="42" t="s">
        <v>807</v>
      </c>
      <c r="C49" s="42">
        <f t="shared" si="0"/>
        <v>5</v>
      </c>
      <c r="D49" s="122">
        <v>0.10799999999999998</v>
      </c>
      <c r="E49" s="63">
        <v>0.13650000000000001</v>
      </c>
      <c r="F49" s="63">
        <v>0</v>
      </c>
      <c r="G49" s="63">
        <v>0</v>
      </c>
      <c r="H49" s="63">
        <v>0</v>
      </c>
      <c r="I49" s="63">
        <v>0</v>
      </c>
      <c r="J49" s="63">
        <v>0</v>
      </c>
      <c r="K49" s="63">
        <v>0.189</v>
      </c>
      <c r="L49" s="63">
        <v>1585</v>
      </c>
      <c r="M49" s="37"/>
      <c r="N49" s="37"/>
      <c r="O49" s="37"/>
      <c r="P49" s="37"/>
      <c r="Q49" s="37"/>
      <c r="R49" s="37"/>
      <c r="S49" s="37"/>
      <c r="T49" s="37"/>
      <c r="U49" s="37"/>
      <c r="V49" s="37"/>
      <c r="W49" s="37"/>
      <c r="X49" s="37"/>
      <c r="Y49" s="37"/>
      <c r="Z49" s="37"/>
      <c r="AA49" s="37"/>
      <c r="AB49" s="37"/>
      <c r="AC49" s="37"/>
      <c r="AD49" s="37"/>
      <c r="AE49" s="37"/>
      <c r="AF49" s="37"/>
      <c r="AG49" s="44"/>
      <c r="AM49" s="44"/>
      <c r="AS49" s="44"/>
      <c r="AY49" s="44"/>
      <c r="BE49" s="44"/>
      <c r="BK49" s="44"/>
    </row>
    <row r="50" spans="1:63" x14ac:dyDescent="0.25">
      <c r="A50" s="133">
        <v>0.97916666666666696</v>
      </c>
      <c r="B50" s="42" t="s">
        <v>807</v>
      </c>
      <c r="C50" s="42">
        <f t="shared" si="0"/>
        <v>5</v>
      </c>
      <c r="D50" s="122">
        <v>0.10799999999999998</v>
      </c>
      <c r="E50" s="63">
        <v>0.13650000000000001</v>
      </c>
      <c r="F50" s="63">
        <v>0</v>
      </c>
      <c r="G50" s="63">
        <v>0</v>
      </c>
      <c r="H50" s="63">
        <v>0</v>
      </c>
      <c r="I50" s="63">
        <v>0</v>
      </c>
      <c r="J50" s="63">
        <v>0</v>
      </c>
      <c r="K50" s="63">
        <v>0.189</v>
      </c>
      <c r="L50" s="63">
        <v>1585</v>
      </c>
      <c r="M50" s="37"/>
      <c r="N50" s="37"/>
      <c r="O50" s="37"/>
      <c r="P50" s="37"/>
      <c r="Q50" s="37"/>
      <c r="R50" s="37"/>
      <c r="S50" s="37"/>
      <c r="T50" s="37"/>
      <c r="U50" s="37"/>
      <c r="V50" s="37"/>
      <c r="W50" s="37"/>
      <c r="X50" s="37"/>
      <c r="Y50" s="37"/>
      <c r="Z50" s="37"/>
      <c r="AA50" s="37"/>
      <c r="AB50" s="37"/>
      <c r="AC50" s="37"/>
      <c r="AD50" s="37"/>
      <c r="AE50" s="37"/>
      <c r="AF50" s="37"/>
      <c r="AG50" s="44"/>
      <c r="AM50" s="44"/>
      <c r="AS50" s="44"/>
      <c r="AY50" s="44"/>
      <c r="BE50" s="44"/>
      <c r="BK50" s="44"/>
    </row>
    <row r="51" spans="1:63" x14ac:dyDescent="0.25">
      <c r="A51" s="44"/>
      <c r="B51" s="44"/>
      <c r="C51" s="44"/>
      <c r="D51" s="43" cm="1">
        <f t="array" ref="D51">SUM(schedule_compl[O2]*0.5)</f>
        <v>4.6020000000000021</v>
      </c>
      <c r="E51" s="43" cm="1">
        <f t="array" ref="E51">SUM(schedule_compl[CO2]*0.5)</f>
        <v>5.827499999999997</v>
      </c>
      <c r="F51" s="43" cm="1">
        <f t="array" ref="F51">SUM(schedule_compl[urine]*0.5)</f>
        <v>7.9999999999999991</v>
      </c>
      <c r="G51" s="43" cm="1">
        <f t="array" ref="G51">SUM(schedule_compl[feces]*0.5)</f>
        <v>0.73942000000000008</v>
      </c>
      <c r="H51" s="43" cm="1">
        <f t="array" ref="H51">SUM(schedule_compl[potable]*0.5)</f>
        <v>14.315824999999997</v>
      </c>
      <c r="I51" s="43" cm="1">
        <f t="array" ref="I51">SUM(schedule_compl[hygiene]*0.5)</f>
        <v>4.0000000000000009</v>
      </c>
      <c r="J51" s="43" cm="1">
        <f t="array" ref="J51">SUM(schedule_compl[food]*0.5)</f>
        <v>8.4585166666666662</v>
      </c>
      <c r="K51" s="43" cm="1">
        <f t="array" ref="K51">SUM(schedule_compl[sweat]*0.5)</f>
        <v>11.609400000000004</v>
      </c>
      <c r="L51" s="43" cm="1">
        <f t="array" ref="L51">SUM(schedule_compl[heat]*0.5)</f>
        <v>67220</v>
      </c>
      <c r="M51" s="37"/>
      <c r="N51" s="37"/>
      <c r="O51" s="37"/>
      <c r="P51" s="37"/>
      <c r="Q51" s="37"/>
      <c r="R51" s="37"/>
      <c r="S51" s="37"/>
      <c r="T51" s="37"/>
      <c r="U51" s="37"/>
      <c r="V51" s="37"/>
      <c r="W51" s="37"/>
      <c r="X51" s="37"/>
      <c r="Y51" s="37"/>
      <c r="Z51" s="37"/>
      <c r="AA51" s="37"/>
      <c r="AB51" s="37"/>
      <c r="AC51" s="37"/>
      <c r="AD51" s="37"/>
      <c r="AE51" s="141"/>
      <c r="AF51" s="141"/>
      <c r="AG51" s="44"/>
    </row>
    <row r="52" spans="1:63" x14ac:dyDescent="0.25">
      <c r="A52" s="37"/>
      <c r="B52" s="37"/>
      <c r="C52" s="37"/>
      <c r="D52" s="37"/>
      <c r="E52" s="37"/>
      <c r="F52" s="37"/>
      <c r="G52" s="37"/>
      <c r="H52" s="37"/>
      <c r="I52" s="37"/>
      <c r="J52" s="37"/>
      <c r="K52" s="37"/>
      <c r="L52" s="37"/>
      <c r="M52" s="37"/>
      <c r="N52" s="37"/>
      <c r="O52" s="37"/>
      <c r="P52" s="37"/>
      <c r="Q52" s="37"/>
      <c r="R52" s="37"/>
      <c r="S52" s="37"/>
      <c r="T52" s="37"/>
      <c r="U52" s="37"/>
      <c r="V52" s="37"/>
      <c r="W52" s="37"/>
      <c r="X52" s="37"/>
      <c r="Y52" s="37"/>
      <c r="Z52" s="37"/>
      <c r="AA52" s="37"/>
      <c r="AB52" s="37"/>
      <c r="AC52" s="37"/>
      <c r="AD52" s="37"/>
      <c r="AE52" s="141"/>
      <c r="AF52" s="141"/>
      <c r="AG52" s="44"/>
    </row>
    <row r="53" spans="1:63" x14ac:dyDescent="0.25">
      <c r="A53" s="37"/>
      <c r="B53" s="37" t="s">
        <v>1419</v>
      </c>
      <c r="C53" s="37">
        <f>schedule_compl[[#Totals],[potable]]-schedule_compl[[#Totals],[sweat]]-schedule_compl[[#Totals],[urine]]+(SUM_Metabolic_Water+SUM_Food_Water-(S16-AB16))*(schedule_compl[[#Totals],[food]]/V16)</f>
        <v>0</v>
      </c>
      <c r="D53" s="138"/>
      <c r="E53" s="37" t="s">
        <v>1429</v>
      </c>
      <c r="F53" s="37"/>
      <c r="G53" s="37">
        <f>SUM_Potable_Water_Need_2-SUM_Sweat_Production_2-SUM_Urine_Production_2+(0.345+0.7-0.1)*(SUM_Food_Need_2/V16)</f>
        <v>0</v>
      </c>
      <c r="H53" s="37"/>
      <c r="I53" s="37"/>
      <c r="J53" s="37"/>
      <c r="K53" s="267"/>
      <c r="L53" s="99"/>
      <c r="M53" s="37"/>
      <c r="N53" s="37"/>
      <c r="O53" s="37"/>
      <c r="P53" s="37"/>
      <c r="Q53" s="37"/>
      <c r="R53" s="37"/>
      <c r="S53" s="37"/>
      <c r="T53" s="37"/>
      <c r="U53" s="37"/>
      <c r="V53" s="37"/>
      <c r="W53" s="37"/>
      <c r="X53" s="37"/>
      <c r="Y53" s="37"/>
      <c r="Z53" s="37"/>
      <c r="AA53" s="37"/>
      <c r="AB53" s="37"/>
      <c r="AC53" s="37"/>
      <c r="AD53" s="37"/>
      <c r="AE53" s="141"/>
      <c r="AF53" s="141"/>
      <c r="AG53" s="44"/>
    </row>
    <row r="54" spans="1:63" x14ac:dyDescent="0.25">
      <c r="A54" s="127"/>
      <c r="B54" s="37"/>
      <c r="C54" s="99"/>
      <c r="D54" s="37"/>
      <c r="E54" s="37"/>
      <c r="F54" s="37"/>
      <c r="G54" s="37"/>
      <c r="H54" s="138"/>
      <c r="I54" s="138"/>
      <c r="J54" s="138"/>
      <c r="K54" s="138"/>
      <c r="L54" s="232"/>
      <c r="M54" s="37"/>
      <c r="N54" s="37"/>
      <c r="O54" s="37"/>
      <c r="P54" s="37"/>
      <c r="Q54" s="37"/>
      <c r="R54" s="37"/>
      <c r="S54" s="37"/>
      <c r="T54" s="37"/>
      <c r="U54" s="37"/>
      <c r="V54" s="37"/>
      <c r="W54" s="37"/>
      <c r="X54" s="37"/>
      <c r="Y54" s="37"/>
      <c r="Z54" s="37"/>
      <c r="AA54" s="37"/>
      <c r="AB54" s="37"/>
      <c r="AC54" s="37"/>
      <c r="AD54" s="37"/>
      <c r="AE54" s="141"/>
      <c r="AF54" s="141"/>
      <c r="AG54" s="44"/>
    </row>
    <row r="55" spans="1:63" x14ac:dyDescent="0.25">
      <c r="A55" s="126"/>
      <c r="B55" s="37"/>
      <c r="C55" s="37"/>
      <c r="D55" s="37"/>
      <c r="E55" s="37"/>
      <c r="F55" s="37"/>
      <c r="G55" s="37"/>
      <c r="H55" s="37"/>
      <c r="I55" s="37"/>
      <c r="J55" s="99"/>
      <c r="K55" s="37"/>
      <c r="L55" s="37"/>
      <c r="M55" s="37"/>
      <c r="N55" s="37"/>
      <c r="O55" s="37"/>
      <c r="P55" s="37"/>
      <c r="Q55" s="37"/>
      <c r="R55" s="37"/>
      <c r="S55" s="37"/>
      <c r="T55" s="37"/>
      <c r="U55" s="37"/>
      <c r="V55" s="37"/>
      <c r="W55" s="37"/>
      <c r="X55" s="37"/>
      <c r="Y55" s="37"/>
      <c r="Z55" s="37"/>
      <c r="AA55" s="37"/>
      <c r="AB55" s="37"/>
      <c r="AC55" s="37"/>
      <c r="AD55" s="37"/>
      <c r="AE55" s="141"/>
      <c r="AF55" s="141"/>
      <c r="AG55" s="44"/>
    </row>
    <row r="56" spans="1:63" x14ac:dyDescent="0.25">
      <c r="A56" s="126"/>
      <c r="B56" s="37"/>
      <c r="C56" s="37"/>
      <c r="D56" s="37"/>
      <c r="E56" s="37"/>
      <c r="F56" s="37"/>
      <c r="G56" s="37"/>
      <c r="H56" s="37"/>
      <c r="I56" s="37"/>
      <c r="J56" s="37"/>
      <c r="K56" s="37"/>
      <c r="L56" s="37"/>
      <c r="M56" s="37"/>
      <c r="N56" s="37"/>
      <c r="O56" s="37"/>
      <c r="P56" s="37"/>
      <c r="Q56" s="37"/>
      <c r="R56" s="37"/>
      <c r="S56" s="37"/>
      <c r="T56" s="37"/>
      <c r="U56" s="37"/>
      <c r="V56" s="37"/>
      <c r="W56" s="37"/>
      <c r="X56" s="37"/>
      <c r="Y56" s="37"/>
      <c r="Z56" s="37"/>
      <c r="AA56" s="37"/>
      <c r="AB56" s="37"/>
      <c r="AC56" s="37"/>
      <c r="AD56" s="37"/>
      <c r="AE56" s="141"/>
      <c r="AF56" s="141"/>
      <c r="AG56" s="44"/>
    </row>
    <row r="57" spans="1:63" x14ac:dyDescent="0.25">
      <c r="A57" s="126"/>
      <c r="B57" s="37"/>
      <c r="C57" s="37"/>
      <c r="D57" s="37"/>
      <c r="E57" s="37"/>
      <c r="F57" s="37"/>
      <c r="G57" s="37"/>
      <c r="H57" s="37"/>
      <c r="I57" s="37"/>
      <c r="J57" s="37"/>
      <c r="K57" s="37"/>
      <c r="L57" s="37"/>
      <c r="M57" s="37"/>
      <c r="N57" s="37"/>
      <c r="O57" s="37"/>
      <c r="P57" s="37"/>
      <c r="Q57" s="37"/>
      <c r="R57" s="37"/>
      <c r="S57" s="37"/>
      <c r="T57" s="37"/>
      <c r="U57" s="37"/>
      <c r="V57" s="37"/>
      <c r="W57" s="37"/>
      <c r="X57" s="37"/>
      <c r="Y57" s="37"/>
      <c r="Z57" s="37"/>
      <c r="AA57" s="37"/>
      <c r="AB57" s="37"/>
      <c r="AC57" s="37"/>
      <c r="AD57" s="37"/>
      <c r="AE57" s="141"/>
      <c r="AF57" s="141"/>
      <c r="AG57" s="44"/>
    </row>
    <row r="58" spans="1:63" x14ac:dyDescent="0.25">
      <c r="A58" s="37"/>
      <c r="B58" s="37"/>
      <c r="C58" s="37"/>
      <c r="D58" s="37"/>
      <c r="E58" s="37"/>
      <c r="F58" s="37"/>
      <c r="G58" s="37"/>
      <c r="H58" s="37"/>
      <c r="I58" s="37"/>
      <c r="J58" s="37"/>
      <c r="K58" s="37"/>
      <c r="L58" s="37"/>
      <c r="M58" s="37"/>
      <c r="N58" s="37"/>
      <c r="O58" s="37"/>
      <c r="P58" s="37"/>
      <c r="Q58" s="37"/>
      <c r="R58" s="37"/>
      <c r="S58" s="37"/>
      <c r="T58" s="37"/>
      <c r="U58" s="37"/>
      <c r="V58" s="37"/>
      <c r="W58" s="37"/>
      <c r="X58" s="37"/>
      <c r="Y58" s="37"/>
      <c r="Z58" s="37"/>
      <c r="AA58" s="37"/>
      <c r="AB58" s="37"/>
      <c r="AC58" s="37"/>
      <c r="AD58" s="37"/>
      <c r="AE58" s="141"/>
      <c r="AF58" s="141"/>
      <c r="AG58" s="44"/>
    </row>
    <row r="59" spans="1:63" x14ac:dyDescent="0.25">
      <c r="A59" s="95"/>
      <c r="B59" s="268" t="s">
        <v>1421</v>
      </c>
      <c r="C59" s="268" t="s">
        <v>1422</v>
      </c>
      <c r="D59" s="268" t="s">
        <v>1424</v>
      </c>
      <c r="E59" s="268" t="s">
        <v>1425</v>
      </c>
      <c r="F59" s="268" t="s">
        <v>1426</v>
      </c>
      <c r="G59" s="268" t="s">
        <v>1427</v>
      </c>
      <c r="H59" s="273" t="s">
        <v>1428</v>
      </c>
      <c r="I59" s="37"/>
      <c r="J59" s="37"/>
      <c r="K59" s="37"/>
      <c r="L59" s="37"/>
      <c r="M59" s="37"/>
      <c r="N59" s="37"/>
      <c r="O59" s="37"/>
      <c r="P59" s="37"/>
      <c r="Q59" s="37"/>
      <c r="R59" s="37"/>
      <c r="S59" s="37"/>
      <c r="T59" s="37"/>
      <c r="U59" s="37"/>
      <c r="V59" s="37"/>
      <c r="W59" s="37"/>
      <c r="X59" s="37"/>
      <c r="Y59" s="37"/>
      <c r="Z59" s="37"/>
      <c r="AA59" s="141"/>
      <c r="AB59" s="141"/>
      <c r="AC59" s="141"/>
      <c r="AD59" s="141"/>
      <c r="AE59" s="141"/>
      <c r="AF59" s="141"/>
      <c r="AG59" s="44"/>
    </row>
    <row r="60" spans="1:63" x14ac:dyDescent="0.25">
      <c r="A60" s="119" t="s">
        <v>1420</v>
      </c>
      <c r="B60" s="669">
        <v>4</v>
      </c>
      <c r="C60" s="669">
        <v>2</v>
      </c>
      <c r="D60" s="669">
        <v>2</v>
      </c>
      <c r="E60" s="669">
        <v>0</v>
      </c>
      <c r="F60" s="669">
        <v>0</v>
      </c>
      <c r="G60" s="669">
        <v>0</v>
      </c>
      <c r="H60" s="670">
        <v>0</v>
      </c>
      <c r="I60" s="107"/>
      <c r="J60" s="107"/>
      <c r="K60" s="107"/>
      <c r="L60" s="107"/>
      <c r="M60" s="107"/>
      <c r="N60" s="107"/>
      <c r="O60" s="107"/>
      <c r="P60" s="107"/>
      <c r="Q60" s="107"/>
      <c r="R60" s="107"/>
      <c r="S60" s="107"/>
      <c r="T60" s="107"/>
      <c r="U60" s="107"/>
      <c r="V60" s="107"/>
      <c r="W60" s="107"/>
      <c r="X60" s="107"/>
      <c r="Y60" s="107"/>
      <c r="Z60" s="107"/>
      <c r="AA60" s="671"/>
      <c r="AB60" s="671"/>
      <c r="AC60" s="671"/>
      <c r="AD60" s="671"/>
      <c r="AE60" s="671"/>
      <c r="AF60" s="671"/>
      <c r="AG60" s="672"/>
      <c r="AH60" s="101"/>
      <c r="AI60" s="101"/>
      <c r="AJ60" s="101"/>
      <c r="AK60" s="101"/>
      <c r="AL60" s="101"/>
      <c r="AM60" s="101"/>
      <c r="AN60" s="101"/>
      <c r="AO60" s="101"/>
      <c r="AP60" s="101"/>
      <c r="AQ60" s="101"/>
      <c r="AR60" s="101"/>
      <c r="AS60" s="101"/>
      <c r="AT60" s="101"/>
      <c r="AU60" s="101"/>
      <c r="AV60" s="101"/>
      <c r="AW60" s="101"/>
      <c r="AX60" s="101"/>
      <c r="AY60" s="101"/>
      <c r="AZ60" s="101"/>
      <c r="BA60" s="101"/>
    </row>
    <row r="61" spans="1:63" x14ac:dyDescent="0.25">
      <c r="A61" s="119" t="s">
        <v>795</v>
      </c>
      <c r="B61" s="269" t="s">
        <v>796</v>
      </c>
      <c r="C61" s="269" t="s">
        <v>796</v>
      </c>
      <c r="D61" s="269" t="s">
        <v>796</v>
      </c>
      <c r="E61" s="269" t="s">
        <v>796</v>
      </c>
      <c r="F61" s="269" t="s">
        <v>796</v>
      </c>
      <c r="G61" s="269" t="s">
        <v>796</v>
      </c>
      <c r="H61" s="273" t="s">
        <v>796</v>
      </c>
      <c r="I61" s="37"/>
      <c r="J61" s="37"/>
      <c r="K61" s="37"/>
      <c r="L61" s="37"/>
      <c r="M61" s="37"/>
      <c r="N61" s="37"/>
      <c r="O61" s="37"/>
      <c r="P61" s="37"/>
      <c r="Q61" s="37"/>
      <c r="R61" s="37"/>
      <c r="S61" s="37"/>
      <c r="T61" s="37"/>
      <c r="U61" s="37"/>
      <c r="V61" s="37"/>
      <c r="W61" s="37"/>
      <c r="X61" s="37"/>
      <c r="Y61" s="37"/>
      <c r="Z61" s="37"/>
      <c r="AA61" s="141"/>
      <c r="AB61" s="141"/>
      <c r="AC61" s="141"/>
      <c r="AD61" s="141"/>
      <c r="AE61" s="141"/>
      <c r="AF61" s="141"/>
      <c r="AG61" s="44"/>
    </row>
    <row r="62" spans="1:63" x14ac:dyDescent="0.25">
      <c r="A62" s="685">
        <v>0</v>
      </c>
      <c r="B62" s="673" t="s">
        <v>807</v>
      </c>
      <c r="C62" s="673" t="s">
        <v>807</v>
      </c>
      <c r="D62" s="673" t="s">
        <v>807</v>
      </c>
      <c r="E62" s="683"/>
      <c r="F62" s="676"/>
      <c r="G62" s="676"/>
      <c r="H62" s="676"/>
      <c r="I62" s="107"/>
      <c r="J62" s="107"/>
      <c r="K62" s="107"/>
      <c r="L62" s="107"/>
      <c r="M62" s="107"/>
      <c r="N62" s="107"/>
      <c r="O62" s="107"/>
      <c r="P62" s="107"/>
      <c r="Q62" s="107"/>
      <c r="R62" s="107"/>
      <c r="S62" s="107"/>
      <c r="T62" s="107"/>
      <c r="U62" s="107"/>
      <c r="V62" s="107"/>
      <c r="W62" s="107"/>
      <c r="X62" s="107"/>
      <c r="Y62" s="107"/>
      <c r="Z62" s="107"/>
      <c r="AA62" s="671"/>
      <c r="AB62" s="671"/>
      <c r="AC62" s="671"/>
      <c r="AD62" s="671"/>
      <c r="AE62" s="671"/>
      <c r="AF62" s="671"/>
      <c r="AG62" s="672"/>
      <c r="AH62" s="101"/>
      <c r="AI62" s="101"/>
      <c r="AJ62" s="101"/>
      <c r="AK62" s="101"/>
      <c r="AL62" s="101"/>
      <c r="AM62" s="101"/>
      <c r="AN62" s="101"/>
      <c r="AO62" s="101"/>
      <c r="AP62" s="101"/>
      <c r="AQ62" s="101"/>
      <c r="AR62" s="101"/>
      <c r="AS62" s="101"/>
      <c r="AT62" s="101"/>
      <c r="AU62" s="101"/>
      <c r="AV62" s="101"/>
      <c r="AW62" s="101"/>
      <c r="AX62" s="101"/>
      <c r="AY62" s="101"/>
      <c r="AZ62" s="101"/>
      <c r="BA62" s="101"/>
    </row>
    <row r="63" spans="1:63" x14ac:dyDescent="0.25">
      <c r="A63" s="686">
        <v>2.0833333333333332E-2</v>
      </c>
      <c r="B63" s="673" t="s">
        <v>807</v>
      </c>
      <c r="C63" s="673" t="s">
        <v>807</v>
      </c>
      <c r="D63" s="673" t="s">
        <v>807</v>
      </c>
      <c r="E63" s="684"/>
      <c r="F63" s="676"/>
      <c r="G63" s="676"/>
      <c r="H63" s="676"/>
      <c r="I63" s="107"/>
      <c r="J63" s="107"/>
      <c r="K63" s="107"/>
      <c r="L63" s="107"/>
      <c r="M63" s="107"/>
      <c r="N63" s="107"/>
      <c r="O63" s="107"/>
      <c r="P63" s="107"/>
      <c r="Q63" s="107"/>
      <c r="R63" s="107"/>
      <c r="S63" s="107"/>
      <c r="T63" s="107"/>
      <c r="U63" s="107"/>
      <c r="V63" s="107"/>
      <c r="W63" s="107"/>
      <c r="X63" s="107"/>
      <c r="Y63" s="107"/>
      <c r="Z63" s="107"/>
      <c r="AA63" s="671"/>
      <c r="AB63" s="671"/>
      <c r="AC63" s="671"/>
      <c r="AD63" s="671"/>
      <c r="AE63" s="671"/>
      <c r="AF63" s="671"/>
      <c r="AG63" s="101"/>
      <c r="AH63" s="101"/>
      <c r="AI63" s="101"/>
      <c r="AJ63" s="101"/>
      <c r="AK63" s="101"/>
      <c r="AL63" s="101"/>
      <c r="AM63" s="101"/>
      <c r="AN63" s="101"/>
      <c r="AO63" s="101"/>
      <c r="AP63" s="101"/>
      <c r="AQ63" s="101"/>
      <c r="AR63" s="101"/>
      <c r="AS63" s="101"/>
      <c r="AT63" s="101"/>
      <c r="AU63" s="101"/>
      <c r="AV63" s="101"/>
      <c r="AW63" s="101"/>
      <c r="AX63" s="101"/>
      <c r="AY63" s="101"/>
      <c r="AZ63" s="101"/>
      <c r="BA63" s="101"/>
    </row>
    <row r="64" spans="1:63" x14ac:dyDescent="0.25">
      <c r="A64" s="687">
        <v>4.1666666666666699E-2</v>
      </c>
      <c r="B64" s="673" t="s">
        <v>807</v>
      </c>
      <c r="C64" s="673" t="s">
        <v>807</v>
      </c>
      <c r="D64" s="673" t="s">
        <v>807</v>
      </c>
      <c r="E64" s="684"/>
      <c r="F64" s="676"/>
      <c r="G64" s="676"/>
      <c r="H64" s="676"/>
      <c r="I64" s="107"/>
      <c r="J64" s="107"/>
      <c r="K64" s="107"/>
      <c r="L64" s="107"/>
      <c r="M64" s="107"/>
      <c r="N64" s="107"/>
      <c r="O64" s="107"/>
      <c r="P64" s="107"/>
      <c r="Q64" s="107"/>
      <c r="R64" s="107"/>
      <c r="S64" s="107"/>
      <c r="T64" s="107"/>
      <c r="U64" s="107"/>
      <c r="V64" s="107"/>
      <c r="W64" s="107"/>
      <c r="X64" s="107"/>
      <c r="Y64" s="107"/>
      <c r="Z64" s="107"/>
      <c r="AA64" s="671"/>
      <c r="AB64" s="671"/>
      <c r="AC64" s="671"/>
      <c r="AD64" s="671"/>
      <c r="AE64" s="107"/>
      <c r="AF64" s="107"/>
      <c r="AG64" s="101"/>
      <c r="AH64" s="101"/>
      <c r="AI64" s="101"/>
      <c r="AJ64" s="101"/>
      <c r="AK64" s="101"/>
      <c r="AL64" s="101"/>
      <c r="AM64" s="101"/>
      <c r="AN64" s="101"/>
      <c r="AO64" s="101"/>
      <c r="AP64" s="101"/>
      <c r="AQ64" s="101"/>
      <c r="AR64" s="101"/>
      <c r="AS64" s="101"/>
      <c r="AT64" s="101"/>
      <c r="AU64" s="101"/>
      <c r="AV64" s="101"/>
      <c r="AW64" s="101"/>
      <c r="AX64" s="101"/>
      <c r="AY64" s="101"/>
      <c r="AZ64" s="101"/>
      <c r="BA64" s="101"/>
    </row>
    <row r="65" spans="1:53" x14ac:dyDescent="0.25">
      <c r="A65" s="686">
        <v>6.25E-2</v>
      </c>
      <c r="B65" s="673" t="s">
        <v>807</v>
      </c>
      <c r="C65" s="673" t="s">
        <v>807</v>
      </c>
      <c r="D65" s="673" t="s">
        <v>807</v>
      </c>
      <c r="E65" s="684"/>
      <c r="F65" s="676"/>
      <c r="G65" s="676"/>
      <c r="H65" s="676"/>
      <c r="I65" s="107"/>
      <c r="J65" s="107"/>
      <c r="K65" s="107"/>
      <c r="L65" s="107"/>
      <c r="M65" s="107"/>
      <c r="N65" s="107"/>
      <c r="O65" s="107"/>
      <c r="P65" s="107"/>
      <c r="Q65" s="107"/>
      <c r="R65" s="107"/>
      <c r="S65" s="107"/>
      <c r="T65" s="107"/>
      <c r="U65" s="107"/>
      <c r="V65" s="107"/>
      <c r="W65" s="107"/>
      <c r="X65" s="107"/>
      <c r="Y65" s="107"/>
      <c r="Z65" s="107"/>
      <c r="AA65" s="671"/>
      <c r="AB65" s="671"/>
      <c r="AC65" s="671"/>
      <c r="AD65" s="671"/>
      <c r="AE65" s="107"/>
      <c r="AF65" s="107"/>
      <c r="AG65" s="101"/>
      <c r="AH65" s="101"/>
      <c r="AI65" s="101"/>
      <c r="AJ65" s="101"/>
      <c r="AK65" s="101"/>
      <c r="AL65" s="101"/>
      <c r="AM65" s="101"/>
      <c r="AN65" s="101"/>
      <c r="AO65" s="101"/>
      <c r="AP65" s="101"/>
      <c r="AQ65" s="101"/>
      <c r="AR65" s="101"/>
      <c r="AS65" s="101"/>
      <c r="AT65" s="101"/>
      <c r="AU65" s="101"/>
      <c r="AV65" s="101"/>
      <c r="AW65" s="101"/>
      <c r="AX65" s="101"/>
      <c r="AY65" s="101"/>
      <c r="AZ65" s="101"/>
      <c r="BA65" s="101"/>
    </row>
    <row r="66" spans="1:53" x14ac:dyDescent="0.25">
      <c r="A66" s="687">
        <v>8.3333333333333301E-2</v>
      </c>
      <c r="B66" s="673" t="s">
        <v>807</v>
      </c>
      <c r="C66" s="673" t="s">
        <v>807</v>
      </c>
      <c r="D66" s="673" t="s">
        <v>807</v>
      </c>
      <c r="E66" s="684"/>
      <c r="F66" s="676"/>
      <c r="G66" s="676"/>
      <c r="H66" s="676"/>
      <c r="I66" s="107"/>
      <c r="J66" s="107"/>
      <c r="K66" s="107"/>
      <c r="L66" s="107"/>
      <c r="M66" s="107"/>
      <c r="N66" s="107"/>
      <c r="O66" s="107"/>
      <c r="P66" s="107"/>
      <c r="Q66" s="107"/>
      <c r="R66" s="107"/>
      <c r="S66" s="107"/>
      <c r="T66" s="107"/>
      <c r="U66" s="107"/>
      <c r="V66" s="107"/>
      <c r="W66" s="107"/>
      <c r="X66" s="107"/>
      <c r="Y66" s="107"/>
      <c r="Z66" s="107"/>
      <c r="AA66" s="671"/>
      <c r="AB66" s="671"/>
      <c r="AC66" s="671"/>
      <c r="AD66" s="671"/>
      <c r="AE66" s="107"/>
      <c r="AF66" s="107"/>
      <c r="AG66" s="101"/>
      <c r="AH66" s="101"/>
      <c r="AI66" s="101"/>
      <c r="AJ66" s="101"/>
      <c r="AK66" s="101"/>
      <c r="AL66" s="101"/>
      <c r="AM66" s="101"/>
      <c r="AN66" s="101"/>
      <c r="AO66" s="101"/>
      <c r="AP66" s="101"/>
      <c r="AQ66" s="101"/>
      <c r="AR66" s="101"/>
      <c r="AS66" s="101"/>
      <c r="AT66" s="101"/>
      <c r="AU66" s="101"/>
      <c r="AV66" s="101"/>
      <c r="AW66" s="101"/>
      <c r="AX66" s="101"/>
      <c r="AY66" s="101"/>
      <c r="AZ66" s="101"/>
      <c r="BA66" s="101"/>
    </row>
    <row r="67" spans="1:53" x14ac:dyDescent="0.25">
      <c r="A67" s="686">
        <v>0.104166666666667</v>
      </c>
      <c r="B67" s="673" t="s">
        <v>807</v>
      </c>
      <c r="C67" s="673" t="s">
        <v>807</v>
      </c>
      <c r="D67" s="673" t="s">
        <v>807</v>
      </c>
      <c r="E67" s="684"/>
      <c r="F67" s="676"/>
      <c r="G67" s="676"/>
      <c r="H67" s="676"/>
      <c r="I67" s="107"/>
      <c r="J67" s="107"/>
      <c r="K67" s="107"/>
      <c r="L67" s="107"/>
      <c r="M67" s="107"/>
      <c r="N67" s="107"/>
      <c r="O67" s="107"/>
      <c r="P67" s="107"/>
      <c r="Q67" s="107"/>
      <c r="R67" s="107"/>
      <c r="S67" s="107"/>
      <c r="T67" s="107"/>
      <c r="U67" s="107"/>
      <c r="V67" s="107"/>
      <c r="W67" s="107"/>
      <c r="X67" s="107"/>
      <c r="Y67" s="107"/>
      <c r="Z67" s="107"/>
      <c r="AA67" s="671"/>
      <c r="AB67" s="671"/>
      <c r="AC67" s="671"/>
      <c r="AD67" s="671"/>
      <c r="AE67" s="107"/>
      <c r="AF67" s="107"/>
      <c r="AG67" s="101"/>
      <c r="AH67" s="101"/>
      <c r="AI67" s="101"/>
      <c r="AJ67" s="101"/>
      <c r="AK67" s="101"/>
      <c r="AL67" s="101"/>
      <c r="AM67" s="101"/>
      <c r="AN67" s="101"/>
      <c r="AO67" s="101"/>
      <c r="AP67" s="101"/>
      <c r="AQ67" s="101"/>
      <c r="AR67" s="101"/>
      <c r="AS67" s="101"/>
      <c r="AT67" s="101"/>
      <c r="AU67" s="101"/>
      <c r="AV67" s="101"/>
      <c r="AW67" s="101"/>
      <c r="AX67" s="101"/>
      <c r="AY67" s="101"/>
      <c r="AZ67" s="101"/>
      <c r="BA67" s="101"/>
    </row>
    <row r="68" spans="1:53" x14ac:dyDescent="0.25">
      <c r="A68" s="687">
        <v>0.125</v>
      </c>
      <c r="B68" s="673" t="s">
        <v>807</v>
      </c>
      <c r="C68" s="673" t="s">
        <v>807</v>
      </c>
      <c r="D68" s="673" t="s">
        <v>807</v>
      </c>
      <c r="E68" s="684"/>
      <c r="F68" s="676"/>
      <c r="G68" s="676"/>
      <c r="H68" s="676"/>
      <c r="I68" s="107"/>
      <c r="J68" s="107"/>
      <c r="K68" s="107"/>
      <c r="L68" s="107"/>
      <c r="M68" s="107"/>
      <c r="N68" s="107"/>
      <c r="O68" s="107"/>
      <c r="P68" s="107"/>
      <c r="Q68" s="107"/>
      <c r="R68" s="107"/>
      <c r="S68" s="107"/>
      <c r="T68" s="107"/>
      <c r="U68" s="107"/>
      <c r="V68" s="107"/>
      <c r="W68" s="107"/>
      <c r="X68" s="107"/>
      <c r="Y68" s="107"/>
      <c r="Z68" s="107"/>
      <c r="AA68" s="671"/>
      <c r="AB68" s="671"/>
      <c r="AC68" s="671"/>
      <c r="AD68" s="671"/>
      <c r="AE68" s="107"/>
      <c r="AF68" s="107"/>
      <c r="AG68" s="101"/>
      <c r="AH68" s="101"/>
      <c r="AI68" s="101"/>
      <c r="AJ68" s="101"/>
      <c r="AK68" s="101"/>
      <c r="AL68" s="101"/>
      <c r="AM68" s="101"/>
      <c r="AN68" s="101"/>
      <c r="AO68" s="101"/>
      <c r="AP68" s="101"/>
      <c r="AQ68" s="101"/>
      <c r="AR68" s="101"/>
      <c r="AS68" s="101"/>
      <c r="AT68" s="101"/>
      <c r="AU68" s="101"/>
      <c r="AV68" s="101"/>
      <c r="AW68" s="101"/>
      <c r="AX68" s="101"/>
      <c r="AY68" s="101"/>
      <c r="AZ68" s="101"/>
      <c r="BA68" s="101"/>
    </row>
    <row r="69" spans="1:53" x14ac:dyDescent="0.25">
      <c r="A69" s="686">
        <v>0.14583333333333301</v>
      </c>
      <c r="B69" s="673" t="s">
        <v>807</v>
      </c>
      <c r="C69" s="673" t="s">
        <v>807</v>
      </c>
      <c r="D69" s="673" t="s">
        <v>807</v>
      </c>
      <c r="E69" s="684"/>
      <c r="F69" s="676"/>
      <c r="G69" s="676"/>
      <c r="H69" s="676"/>
      <c r="I69" s="107"/>
      <c r="J69" s="107"/>
      <c r="K69" s="107"/>
      <c r="L69" s="107"/>
      <c r="M69" s="107"/>
      <c r="N69" s="107"/>
      <c r="O69" s="107"/>
      <c r="P69" s="107"/>
      <c r="Q69" s="107"/>
      <c r="R69" s="107"/>
      <c r="S69" s="107"/>
      <c r="T69" s="107"/>
      <c r="U69" s="107"/>
      <c r="V69" s="107"/>
      <c r="W69" s="107"/>
      <c r="X69" s="107"/>
      <c r="Y69" s="107"/>
      <c r="Z69" s="107"/>
      <c r="AA69" s="671"/>
      <c r="AB69" s="671"/>
      <c r="AC69" s="671"/>
      <c r="AD69" s="671"/>
      <c r="AE69" s="107"/>
      <c r="AF69" s="107"/>
      <c r="AG69" s="101"/>
      <c r="AH69" s="101"/>
      <c r="AI69" s="101"/>
      <c r="AJ69" s="101"/>
      <c r="AK69" s="101"/>
      <c r="AL69" s="101"/>
      <c r="AM69" s="101"/>
      <c r="AN69" s="101"/>
      <c r="AO69" s="101"/>
      <c r="AP69" s="101"/>
      <c r="AQ69" s="101"/>
      <c r="AR69" s="101"/>
      <c r="AS69" s="101"/>
      <c r="AT69" s="101"/>
      <c r="AU69" s="101"/>
      <c r="AV69" s="101"/>
      <c r="AW69" s="101"/>
      <c r="AX69" s="101"/>
      <c r="AY69" s="101"/>
      <c r="AZ69" s="101"/>
      <c r="BA69" s="101"/>
    </row>
    <row r="70" spans="1:53" x14ac:dyDescent="0.25">
      <c r="A70" s="687">
        <v>0.16666666666666699</v>
      </c>
      <c r="B70" s="673" t="s">
        <v>807</v>
      </c>
      <c r="C70" s="673" t="s">
        <v>807</v>
      </c>
      <c r="D70" s="673" t="s">
        <v>807</v>
      </c>
      <c r="E70" s="684"/>
      <c r="F70" s="676"/>
      <c r="G70" s="676"/>
      <c r="H70" s="676"/>
      <c r="I70" s="107"/>
      <c r="J70" s="107"/>
      <c r="K70" s="107"/>
      <c r="L70" s="107"/>
      <c r="M70" s="107"/>
      <c r="N70" s="107"/>
      <c r="O70" s="107"/>
      <c r="P70" s="107"/>
      <c r="Q70" s="107"/>
      <c r="R70" s="107"/>
      <c r="S70" s="107"/>
      <c r="T70" s="107"/>
      <c r="U70" s="107"/>
      <c r="V70" s="107"/>
      <c r="W70" s="107"/>
      <c r="X70" s="107"/>
      <c r="Y70" s="107"/>
      <c r="Z70" s="107"/>
      <c r="AA70" s="671"/>
      <c r="AB70" s="671"/>
      <c r="AC70" s="671"/>
      <c r="AD70" s="671"/>
      <c r="AE70" s="107"/>
      <c r="AF70" s="107"/>
      <c r="AG70" s="101"/>
      <c r="AH70" s="101"/>
      <c r="AI70" s="101"/>
      <c r="AJ70" s="101"/>
      <c r="AK70" s="101"/>
      <c r="AL70" s="101"/>
      <c r="AM70" s="101"/>
      <c r="AN70" s="101"/>
      <c r="AO70" s="101"/>
      <c r="AP70" s="101"/>
      <c r="AQ70" s="101"/>
      <c r="AR70" s="101"/>
      <c r="AS70" s="101"/>
      <c r="AT70" s="101"/>
      <c r="AU70" s="101"/>
      <c r="AV70" s="101"/>
      <c r="AW70" s="101"/>
      <c r="AX70" s="101"/>
      <c r="AY70" s="101"/>
      <c r="AZ70" s="101"/>
      <c r="BA70" s="101"/>
    </row>
    <row r="71" spans="1:53" x14ac:dyDescent="0.25">
      <c r="A71" s="686">
        <v>0.1875</v>
      </c>
      <c r="B71" s="673" t="s">
        <v>807</v>
      </c>
      <c r="C71" s="673" t="s">
        <v>807</v>
      </c>
      <c r="D71" s="673" t="s">
        <v>807</v>
      </c>
      <c r="E71" s="684"/>
      <c r="F71" s="676"/>
      <c r="G71" s="676"/>
      <c r="H71" s="676"/>
      <c r="I71" s="107"/>
      <c r="J71" s="107"/>
      <c r="K71" s="107"/>
      <c r="L71" s="107"/>
      <c r="M71" s="107"/>
      <c r="N71" s="107"/>
      <c r="O71" s="107"/>
      <c r="P71" s="107"/>
      <c r="Q71" s="107"/>
      <c r="R71" s="107"/>
      <c r="S71" s="107"/>
      <c r="T71" s="107"/>
      <c r="U71" s="107"/>
      <c r="V71" s="107"/>
      <c r="W71" s="107"/>
      <c r="X71" s="107"/>
      <c r="Y71" s="107"/>
      <c r="Z71" s="107"/>
      <c r="AA71" s="671"/>
      <c r="AB71" s="671"/>
      <c r="AC71" s="671"/>
      <c r="AD71" s="671"/>
      <c r="AE71" s="107"/>
      <c r="AF71" s="107"/>
      <c r="AG71" s="101"/>
      <c r="AH71" s="101"/>
      <c r="AI71" s="101"/>
      <c r="AJ71" s="101"/>
      <c r="AK71" s="101"/>
      <c r="AL71" s="101"/>
      <c r="AM71" s="101"/>
      <c r="AN71" s="101"/>
      <c r="AO71" s="101"/>
      <c r="AP71" s="101"/>
      <c r="AQ71" s="101"/>
      <c r="AR71" s="101"/>
      <c r="AS71" s="101"/>
      <c r="AT71" s="101"/>
      <c r="AU71" s="101"/>
      <c r="AV71" s="101"/>
      <c r="AW71" s="101"/>
      <c r="AX71" s="101"/>
      <c r="AY71" s="101"/>
      <c r="AZ71" s="101"/>
      <c r="BA71" s="101"/>
    </row>
    <row r="72" spans="1:53" x14ac:dyDescent="0.25">
      <c r="A72" s="687">
        <v>0.20833333333333301</v>
      </c>
      <c r="B72" s="673" t="s">
        <v>807</v>
      </c>
      <c r="C72" s="673" t="s">
        <v>807</v>
      </c>
      <c r="D72" s="673" t="s">
        <v>807</v>
      </c>
      <c r="E72" s="684"/>
      <c r="F72" s="676"/>
      <c r="G72" s="676"/>
      <c r="H72" s="676"/>
      <c r="I72" s="107"/>
      <c r="J72" s="107"/>
      <c r="K72" s="107"/>
      <c r="L72" s="107"/>
      <c r="M72" s="107"/>
      <c r="N72" s="107"/>
      <c r="O72" s="107"/>
      <c r="P72" s="107"/>
      <c r="Q72" s="107"/>
      <c r="R72" s="107"/>
      <c r="S72" s="107"/>
      <c r="T72" s="107"/>
      <c r="U72" s="107"/>
      <c r="V72" s="107"/>
      <c r="W72" s="107"/>
      <c r="X72" s="107"/>
      <c r="Y72" s="107"/>
      <c r="Z72" s="107"/>
      <c r="AA72" s="107"/>
      <c r="AB72" s="107"/>
      <c r="AC72" s="107"/>
      <c r="AD72" s="107"/>
      <c r="AE72" s="107"/>
      <c r="AF72" s="107"/>
      <c r="AG72" s="101"/>
      <c r="AH72" s="101"/>
      <c r="AI72" s="101"/>
      <c r="AJ72" s="101"/>
      <c r="AK72" s="101"/>
      <c r="AL72" s="101"/>
      <c r="AM72" s="101"/>
      <c r="AN72" s="101"/>
      <c r="AO72" s="101"/>
      <c r="AP72" s="101"/>
      <c r="AQ72" s="101"/>
      <c r="AR72" s="101"/>
      <c r="AS72" s="101"/>
      <c r="AT72" s="101"/>
      <c r="AU72" s="101"/>
      <c r="AV72" s="101"/>
      <c r="AW72" s="101"/>
      <c r="AX72" s="101"/>
      <c r="AY72" s="101"/>
      <c r="AZ72" s="101"/>
      <c r="BA72" s="101"/>
    </row>
    <row r="73" spans="1:53" x14ac:dyDescent="0.25">
      <c r="A73" s="688">
        <v>0.22916666666666699</v>
      </c>
      <c r="B73" s="673" t="s">
        <v>807</v>
      </c>
      <c r="C73" s="673" t="s">
        <v>807</v>
      </c>
      <c r="D73" s="673" t="s">
        <v>807</v>
      </c>
      <c r="E73" s="684"/>
      <c r="F73" s="676"/>
      <c r="G73" s="676"/>
      <c r="H73" s="676"/>
      <c r="I73" s="107"/>
      <c r="J73" s="107"/>
      <c r="K73" s="107"/>
      <c r="L73" s="107"/>
      <c r="M73" s="107"/>
      <c r="N73" s="107"/>
      <c r="O73" s="107"/>
      <c r="P73" s="107"/>
      <c r="Q73" s="107"/>
      <c r="R73" s="107"/>
      <c r="S73" s="107"/>
      <c r="T73" s="107"/>
      <c r="U73" s="107"/>
      <c r="V73" s="107"/>
      <c r="W73" s="107"/>
      <c r="X73" s="107"/>
      <c r="Y73" s="107"/>
      <c r="Z73" s="107"/>
      <c r="AA73" s="107"/>
      <c r="AB73" s="107"/>
      <c r="AC73" s="107"/>
      <c r="AD73" s="107"/>
      <c r="AE73" s="107"/>
      <c r="AF73" s="107"/>
      <c r="AG73" s="101"/>
      <c r="AH73" s="101"/>
      <c r="AI73" s="101"/>
      <c r="AJ73" s="101"/>
      <c r="AK73" s="101"/>
      <c r="AL73" s="101"/>
      <c r="AM73" s="101"/>
      <c r="AN73" s="101"/>
      <c r="AO73" s="101"/>
      <c r="AP73" s="101"/>
      <c r="AQ73" s="101"/>
      <c r="AR73" s="101"/>
      <c r="AS73" s="101"/>
      <c r="AT73" s="101"/>
      <c r="AU73" s="101"/>
      <c r="AV73" s="101"/>
      <c r="AW73" s="101"/>
      <c r="AX73" s="101"/>
      <c r="AY73" s="101"/>
      <c r="AZ73" s="101"/>
      <c r="BA73" s="101"/>
    </row>
    <row r="74" spans="1:53" x14ac:dyDescent="0.25">
      <c r="A74" s="689">
        <v>0.25</v>
      </c>
      <c r="B74" s="678" t="s">
        <v>808</v>
      </c>
      <c r="C74" s="678" t="s">
        <v>808</v>
      </c>
      <c r="D74" s="678" t="s">
        <v>808</v>
      </c>
      <c r="E74" s="684"/>
      <c r="F74" s="676"/>
      <c r="G74" s="676"/>
      <c r="H74" s="676"/>
      <c r="I74" s="107"/>
      <c r="J74" s="107"/>
      <c r="K74" s="107"/>
      <c r="L74" s="107"/>
      <c r="M74" s="107"/>
      <c r="N74" s="107"/>
      <c r="O74" s="107"/>
      <c r="P74" s="107"/>
      <c r="Q74" s="107"/>
      <c r="R74" s="107"/>
      <c r="S74" s="107"/>
      <c r="T74" s="107"/>
      <c r="U74" s="107"/>
      <c r="V74" s="107"/>
      <c r="W74" s="107"/>
      <c r="X74" s="107"/>
      <c r="Y74" s="107"/>
      <c r="Z74" s="107"/>
      <c r="AA74" s="107"/>
      <c r="AB74" s="107"/>
      <c r="AC74" s="107"/>
      <c r="AD74" s="107"/>
      <c r="AE74" s="107"/>
      <c r="AF74" s="107"/>
      <c r="AG74" s="101"/>
      <c r="AH74" s="101"/>
      <c r="AI74" s="101"/>
      <c r="AJ74" s="101"/>
      <c r="AK74" s="101"/>
      <c r="AL74" s="101"/>
      <c r="AM74" s="101"/>
      <c r="AN74" s="101"/>
      <c r="AO74" s="101"/>
      <c r="AP74" s="101"/>
      <c r="AQ74" s="101"/>
      <c r="AR74" s="101"/>
      <c r="AS74" s="101"/>
      <c r="AT74" s="101"/>
      <c r="AU74" s="101"/>
      <c r="AV74" s="101"/>
      <c r="AW74" s="101"/>
      <c r="AX74" s="101"/>
      <c r="AY74" s="101"/>
      <c r="AZ74" s="101"/>
      <c r="BA74" s="101"/>
    </row>
    <row r="75" spans="1:53" x14ac:dyDescent="0.25">
      <c r="A75" s="690">
        <v>0.27083333333333298</v>
      </c>
      <c r="B75" s="680" t="s">
        <v>1423</v>
      </c>
      <c r="C75" s="680" t="s">
        <v>1423</v>
      </c>
      <c r="D75" s="680" t="s">
        <v>1423</v>
      </c>
      <c r="E75" s="684"/>
      <c r="F75" s="676"/>
      <c r="G75" s="676"/>
      <c r="H75" s="676"/>
      <c r="I75" s="107"/>
      <c r="J75" s="107"/>
      <c r="K75" s="107"/>
      <c r="L75" s="107"/>
      <c r="M75" s="107"/>
      <c r="N75" s="107"/>
      <c r="O75" s="107"/>
      <c r="P75" s="107"/>
      <c r="Q75" s="107"/>
      <c r="R75" s="107"/>
      <c r="S75" s="107"/>
      <c r="T75" s="107"/>
      <c r="U75" s="107"/>
      <c r="V75" s="107"/>
      <c r="W75" s="107"/>
      <c r="X75" s="107"/>
      <c r="Y75" s="107"/>
      <c r="Z75" s="107"/>
      <c r="AA75" s="107"/>
      <c r="AB75" s="107"/>
      <c r="AC75" s="107"/>
      <c r="AD75" s="107"/>
      <c r="AE75" s="107"/>
      <c r="AF75" s="107"/>
      <c r="AG75" s="101"/>
      <c r="AH75" s="101"/>
      <c r="AI75" s="101"/>
      <c r="AJ75" s="101"/>
      <c r="AK75" s="101"/>
      <c r="AL75" s="101"/>
      <c r="AM75" s="101"/>
      <c r="AN75" s="101"/>
      <c r="AO75" s="101"/>
      <c r="AP75" s="101"/>
      <c r="AQ75" s="101"/>
      <c r="AR75" s="101"/>
      <c r="AS75" s="101"/>
      <c r="AT75" s="101"/>
      <c r="AU75" s="101"/>
      <c r="AV75" s="101"/>
      <c r="AW75" s="101"/>
      <c r="AX75" s="101"/>
      <c r="AY75" s="101"/>
      <c r="AZ75" s="101"/>
      <c r="BA75" s="101"/>
    </row>
    <row r="76" spans="1:53" x14ac:dyDescent="0.25">
      <c r="A76" s="690">
        <v>0.29166666666666669</v>
      </c>
      <c r="B76" s="677" t="s">
        <v>814</v>
      </c>
      <c r="C76" s="677" t="s">
        <v>814</v>
      </c>
      <c r="D76" s="677" t="s">
        <v>814</v>
      </c>
      <c r="E76" s="684"/>
      <c r="F76" s="676"/>
      <c r="G76" s="676"/>
      <c r="H76" s="676"/>
      <c r="I76" s="107"/>
      <c r="J76" s="107"/>
      <c r="K76" s="107"/>
      <c r="L76" s="107"/>
      <c r="M76" s="107"/>
      <c r="N76" s="107"/>
      <c r="O76" s="107"/>
      <c r="P76" s="107"/>
      <c r="Q76" s="107"/>
      <c r="R76" s="107"/>
      <c r="S76" s="107"/>
      <c r="T76" s="107"/>
      <c r="U76" s="107"/>
      <c r="V76" s="107"/>
      <c r="W76" s="107"/>
      <c r="X76" s="107"/>
      <c r="Y76" s="107"/>
      <c r="Z76" s="107"/>
      <c r="AA76" s="107"/>
      <c r="AB76" s="107"/>
      <c r="AC76" s="107"/>
      <c r="AD76" s="107"/>
      <c r="AE76" s="107"/>
      <c r="AF76" s="107"/>
      <c r="AG76" s="101"/>
      <c r="AH76" s="101"/>
      <c r="AI76" s="101"/>
      <c r="AJ76" s="101"/>
      <c r="AK76" s="101"/>
      <c r="AL76" s="101"/>
      <c r="AM76" s="101"/>
      <c r="AN76" s="101"/>
      <c r="AO76" s="101"/>
      <c r="AP76" s="101"/>
      <c r="AQ76" s="101"/>
      <c r="AR76" s="101"/>
      <c r="AS76" s="101"/>
      <c r="AT76" s="101"/>
      <c r="AU76" s="101"/>
      <c r="AV76" s="101"/>
      <c r="AW76" s="101"/>
      <c r="AX76" s="101"/>
      <c r="AY76" s="101"/>
      <c r="AZ76" s="101"/>
      <c r="BA76" s="101"/>
    </row>
    <row r="77" spans="1:53" x14ac:dyDescent="0.25">
      <c r="A77" s="690">
        <v>0.3125</v>
      </c>
      <c r="B77" s="675" t="s">
        <v>1239</v>
      </c>
      <c r="C77" s="675" t="s">
        <v>1239</v>
      </c>
      <c r="D77" s="675" t="s">
        <v>1239</v>
      </c>
      <c r="E77" s="684"/>
      <c r="F77" s="676"/>
      <c r="G77" s="676"/>
      <c r="H77" s="676"/>
      <c r="I77" s="107"/>
      <c r="J77" s="107"/>
      <c r="K77" s="107"/>
      <c r="L77" s="107"/>
      <c r="M77" s="107"/>
      <c r="N77" s="107"/>
      <c r="O77" s="107"/>
      <c r="P77" s="107"/>
      <c r="Q77" s="107"/>
      <c r="R77" s="107"/>
      <c r="S77" s="107"/>
      <c r="T77" s="107"/>
      <c r="U77" s="107"/>
      <c r="V77" s="107"/>
      <c r="W77" s="107"/>
      <c r="X77" s="107"/>
      <c r="Y77" s="107"/>
      <c r="Z77" s="107"/>
      <c r="AA77" s="107"/>
      <c r="AB77" s="107"/>
      <c r="AC77" s="107"/>
      <c r="AD77" s="107"/>
      <c r="AE77" s="107"/>
      <c r="AF77" s="107"/>
      <c r="AG77" s="101"/>
      <c r="AH77" s="101"/>
      <c r="AI77" s="101"/>
      <c r="AJ77" s="101"/>
      <c r="AK77" s="101"/>
      <c r="AL77" s="101"/>
      <c r="AM77" s="101"/>
      <c r="AN77" s="101"/>
      <c r="AO77" s="101"/>
      <c r="AP77" s="101"/>
      <c r="AQ77" s="101"/>
      <c r="AR77" s="101"/>
      <c r="AS77" s="101"/>
      <c r="AT77" s="101"/>
      <c r="AU77" s="101"/>
      <c r="AV77" s="101"/>
      <c r="AW77" s="101"/>
      <c r="AX77" s="101"/>
      <c r="AY77" s="101"/>
      <c r="AZ77" s="101"/>
      <c r="BA77" s="101"/>
    </row>
    <row r="78" spans="1:53" x14ac:dyDescent="0.25">
      <c r="A78" s="689">
        <v>0.33333333333333298</v>
      </c>
      <c r="B78" s="675" t="s">
        <v>1239</v>
      </c>
      <c r="C78" s="675" t="s">
        <v>1239</v>
      </c>
      <c r="D78" s="675" t="s">
        <v>1239</v>
      </c>
      <c r="E78" s="684"/>
      <c r="F78" s="676"/>
      <c r="G78" s="676"/>
      <c r="H78" s="676"/>
      <c r="I78" s="107"/>
      <c r="J78" s="107"/>
      <c r="K78" s="107"/>
      <c r="L78" s="107"/>
      <c r="M78" s="107"/>
      <c r="N78" s="107"/>
      <c r="O78" s="107"/>
      <c r="P78" s="107"/>
      <c r="Q78" s="107"/>
      <c r="R78" s="107"/>
      <c r="S78" s="107"/>
      <c r="T78" s="107"/>
      <c r="U78" s="107"/>
      <c r="V78" s="107"/>
      <c r="W78" s="107"/>
      <c r="X78" s="107"/>
      <c r="Y78" s="107"/>
      <c r="Z78" s="107"/>
      <c r="AA78" s="107"/>
      <c r="AB78" s="107"/>
      <c r="AC78" s="107"/>
      <c r="AD78" s="107"/>
      <c r="AE78" s="107"/>
      <c r="AF78" s="107"/>
      <c r="AG78" s="101"/>
      <c r="AH78" s="101"/>
      <c r="AI78" s="101"/>
      <c r="AJ78" s="101"/>
      <c r="AK78" s="101"/>
      <c r="AL78" s="101"/>
      <c r="AM78" s="101"/>
      <c r="AN78" s="101"/>
      <c r="AO78" s="101"/>
      <c r="AP78" s="101"/>
      <c r="AQ78" s="101"/>
      <c r="AR78" s="101"/>
      <c r="AS78" s="101"/>
      <c r="AT78" s="101"/>
      <c r="AU78" s="101"/>
      <c r="AV78" s="101"/>
      <c r="AW78" s="101"/>
      <c r="AX78" s="101"/>
      <c r="AY78" s="101"/>
      <c r="AZ78" s="101"/>
      <c r="BA78" s="101"/>
    </row>
    <row r="79" spans="1:53" x14ac:dyDescent="0.25">
      <c r="A79" s="690">
        <v>0.35416666666666702</v>
      </c>
      <c r="B79" s="675" t="s">
        <v>1239</v>
      </c>
      <c r="C79" s="675" t="s">
        <v>1239</v>
      </c>
      <c r="D79" s="675" t="s">
        <v>1239</v>
      </c>
      <c r="E79" s="684"/>
      <c r="F79" s="676"/>
      <c r="G79" s="676"/>
      <c r="H79" s="676"/>
      <c r="I79" s="107"/>
      <c r="J79" s="107"/>
      <c r="K79" s="107"/>
      <c r="L79" s="107"/>
      <c r="M79" s="107"/>
      <c r="N79" s="107"/>
      <c r="O79" s="107"/>
      <c r="P79" s="107"/>
      <c r="Q79" s="107"/>
      <c r="R79" s="107"/>
      <c r="S79" s="107"/>
      <c r="T79" s="107"/>
      <c r="U79" s="107"/>
      <c r="V79" s="107"/>
      <c r="W79" s="107"/>
      <c r="X79" s="107"/>
      <c r="Y79" s="107"/>
      <c r="Z79" s="107"/>
      <c r="AA79" s="107"/>
      <c r="AB79" s="107"/>
      <c r="AC79" s="107"/>
      <c r="AD79" s="107"/>
      <c r="AE79" s="107"/>
      <c r="AF79" s="107"/>
      <c r="AG79" s="101"/>
      <c r="AH79" s="101"/>
      <c r="AI79" s="101"/>
      <c r="AJ79" s="101"/>
      <c r="AK79" s="101"/>
      <c r="AL79" s="101"/>
      <c r="AM79" s="101"/>
      <c r="AN79" s="101"/>
      <c r="AO79" s="101"/>
      <c r="AP79" s="101"/>
      <c r="AQ79" s="101"/>
      <c r="AR79" s="101"/>
      <c r="AS79" s="101"/>
      <c r="AT79" s="101"/>
      <c r="AU79" s="101"/>
      <c r="AV79" s="101"/>
      <c r="AW79" s="101"/>
      <c r="AX79" s="101"/>
      <c r="AY79" s="101"/>
      <c r="AZ79" s="101"/>
      <c r="BA79" s="101"/>
    </row>
    <row r="80" spans="1:53" x14ac:dyDescent="0.25">
      <c r="A80" s="689">
        <v>0.375</v>
      </c>
      <c r="B80" s="675" t="s">
        <v>1239</v>
      </c>
      <c r="C80" s="675" t="s">
        <v>1239</v>
      </c>
      <c r="D80" s="675" t="s">
        <v>1239</v>
      </c>
      <c r="E80" s="684"/>
      <c r="F80" s="676"/>
      <c r="G80" s="676"/>
      <c r="H80" s="676"/>
      <c r="I80" s="107"/>
      <c r="J80" s="107"/>
      <c r="K80" s="107"/>
      <c r="L80" s="107"/>
      <c r="M80" s="107"/>
      <c r="N80" s="107"/>
      <c r="O80" s="107"/>
      <c r="P80" s="107"/>
      <c r="Q80" s="107"/>
      <c r="R80" s="107"/>
      <c r="S80" s="107"/>
      <c r="T80" s="107"/>
      <c r="U80" s="107"/>
      <c r="V80" s="107"/>
      <c r="W80" s="107"/>
      <c r="X80" s="107"/>
      <c r="Y80" s="107"/>
      <c r="Z80" s="107"/>
      <c r="AA80" s="107"/>
      <c r="AB80" s="107"/>
      <c r="AC80" s="107"/>
      <c r="AD80" s="107"/>
      <c r="AE80" s="107"/>
      <c r="AF80" s="107"/>
      <c r="AG80" s="101"/>
      <c r="AH80" s="101"/>
      <c r="AI80" s="101"/>
      <c r="AJ80" s="101"/>
      <c r="AK80" s="101"/>
      <c r="AL80" s="101"/>
      <c r="AM80" s="101"/>
      <c r="AN80" s="101"/>
      <c r="AO80" s="101"/>
      <c r="AP80" s="101"/>
      <c r="AQ80" s="101"/>
      <c r="AR80" s="101"/>
      <c r="AS80" s="101"/>
      <c r="AT80" s="101"/>
      <c r="AU80" s="101"/>
      <c r="AV80" s="101"/>
      <c r="AW80" s="101"/>
      <c r="AX80" s="101"/>
      <c r="AY80" s="101"/>
      <c r="AZ80" s="101"/>
      <c r="BA80" s="101"/>
    </row>
    <row r="81" spans="1:53" x14ac:dyDescent="0.25">
      <c r="A81" s="690">
        <v>0.39583333333333298</v>
      </c>
      <c r="B81" s="675" t="s">
        <v>1239</v>
      </c>
      <c r="C81" s="675" t="s">
        <v>1239</v>
      </c>
      <c r="D81" s="675" t="s">
        <v>1239</v>
      </c>
      <c r="E81" s="684"/>
      <c r="F81" s="676"/>
      <c r="G81" s="676"/>
      <c r="H81" s="676"/>
      <c r="I81" s="107"/>
      <c r="J81" s="107"/>
      <c r="K81" s="107"/>
      <c r="L81" s="107"/>
      <c r="M81" s="107"/>
      <c r="N81" s="107"/>
      <c r="O81" s="107"/>
      <c r="P81" s="107"/>
      <c r="Q81" s="107"/>
      <c r="R81" s="107"/>
      <c r="S81" s="107"/>
      <c r="T81" s="107"/>
      <c r="U81" s="107"/>
      <c r="V81" s="107"/>
      <c r="W81" s="107"/>
      <c r="X81" s="107"/>
      <c r="Y81" s="107"/>
      <c r="Z81" s="107"/>
      <c r="AA81" s="107"/>
      <c r="AB81" s="107"/>
      <c r="AC81" s="107"/>
      <c r="AD81" s="107"/>
      <c r="AE81" s="107"/>
      <c r="AF81" s="107"/>
      <c r="AG81" s="101"/>
      <c r="AH81" s="101"/>
      <c r="AI81" s="101"/>
      <c r="AJ81" s="101"/>
      <c r="AK81" s="101"/>
      <c r="AL81" s="101"/>
      <c r="AM81" s="101"/>
      <c r="AN81" s="101"/>
      <c r="AO81" s="101"/>
      <c r="AP81" s="101"/>
      <c r="AQ81" s="101"/>
      <c r="AR81" s="101"/>
      <c r="AS81" s="101"/>
      <c r="AT81" s="101"/>
      <c r="AU81" s="101"/>
      <c r="AV81" s="101"/>
      <c r="AW81" s="101"/>
      <c r="AX81" s="101"/>
      <c r="AY81" s="101"/>
      <c r="AZ81" s="101"/>
      <c r="BA81" s="101"/>
    </row>
    <row r="82" spans="1:53" x14ac:dyDescent="0.25">
      <c r="A82" s="689">
        <v>0.41666666666666702</v>
      </c>
      <c r="B82" s="679" t="s">
        <v>812</v>
      </c>
      <c r="C82" s="675" t="s">
        <v>1239</v>
      </c>
      <c r="D82" s="675" t="s">
        <v>1239</v>
      </c>
      <c r="E82" s="676"/>
      <c r="F82" s="676"/>
      <c r="G82" s="676"/>
      <c r="H82" s="676"/>
      <c r="I82" s="107"/>
      <c r="J82" s="107"/>
      <c r="K82" s="107"/>
      <c r="L82" s="107"/>
      <c r="M82" s="107"/>
      <c r="N82" s="107"/>
      <c r="O82" s="107"/>
      <c r="P82" s="107"/>
      <c r="Q82" s="107"/>
      <c r="R82" s="107"/>
      <c r="S82" s="107"/>
      <c r="T82" s="107"/>
      <c r="U82" s="107"/>
      <c r="V82" s="107"/>
      <c r="W82" s="107"/>
      <c r="X82" s="107"/>
      <c r="Y82" s="107"/>
      <c r="Z82" s="107"/>
      <c r="AA82" s="107"/>
      <c r="AB82" s="107"/>
      <c r="AC82" s="107"/>
      <c r="AD82" s="107"/>
      <c r="AE82" s="107"/>
      <c r="AF82" s="107"/>
      <c r="AG82" s="101"/>
      <c r="AH82" s="101"/>
      <c r="AI82" s="101"/>
      <c r="AJ82" s="101"/>
      <c r="AK82" s="101"/>
      <c r="AL82" s="101"/>
      <c r="AM82" s="101"/>
      <c r="AN82" s="101"/>
      <c r="AO82" s="101"/>
      <c r="AP82" s="101"/>
      <c r="AQ82" s="101"/>
      <c r="AR82" s="101"/>
      <c r="AS82" s="101"/>
      <c r="AT82" s="101"/>
      <c r="AU82" s="101"/>
      <c r="AV82" s="101"/>
      <c r="AW82" s="101"/>
      <c r="AX82" s="101"/>
      <c r="AY82" s="101"/>
      <c r="AZ82" s="101"/>
      <c r="BA82" s="101"/>
    </row>
    <row r="83" spans="1:53" x14ac:dyDescent="0.25">
      <c r="A83" s="690">
        <v>0.4375</v>
      </c>
      <c r="B83" s="679" t="s">
        <v>812</v>
      </c>
      <c r="C83" s="675" t="s">
        <v>1239</v>
      </c>
      <c r="D83" s="675" t="s">
        <v>1239</v>
      </c>
      <c r="E83" s="684"/>
      <c r="F83" s="676"/>
      <c r="G83" s="676"/>
      <c r="H83" s="676"/>
      <c r="I83" s="107"/>
      <c r="J83" s="107"/>
      <c r="K83" s="107"/>
      <c r="L83" s="107"/>
      <c r="M83" s="107"/>
      <c r="N83" s="107"/>
      <c r="O83" s="107"/>
      <c r="P83" s="107"/>
      <c r="Q83" s="107"/>
      <c r="R83" s="107"/>
      <c r="S83" s="107"/>
      <c r="T83" s="107"/>
      <c r="U83" s="107"/>
      <c r="V83" s="107"/>
      <c r="W83" s="107"/>
      <c r="X83" s="107"/>
      <c r="Y83" s="107"/>
      <c r="Z83" s="107"/>
      <c r="AA83" s="107"/>
      <c r="AB83" s="107"/>
      <c r="AC83" s="107"/>
      <c r="AD83" s="107"/>
      <c r="AE83" s="107"/>
      <c r="AF83" s="107"/>
      <c r="AG83" s="101"/>
      <c r="AH83" s="101"/>
      <c r="AI83" s="101"/>
      <c r="AJ83" s="101"/>
      <c r="AK83" s="101"/>
      <c r="AL83" s="101"/>
      <c r="AM83" s="101"/>
      <c r="AN83" s="101"/>
      <c r="AO83" s="101"/>
      <c r="AP83" s="101"/>
      <c r="AQ83" s="101"/>
      <c r="AR83" s="101"/>
      <c r="AS83" s="101"/>
      <c r="AT83" s="101"/>
      <c r="AU83" s="101"/>
      <c r="AV83" s="101"/>
      <c r="AW83" s="101"/>
      <c r="AX83" s="101"/>
      <c r="AY83" s="101"/>
      <c r="AZ83" s="101"/>
      <c r="BA83" s="101"/>
    </row>
    <row r="84" spans="1:53" x14ac:dyDescent="0.25">
      <c r="A84" s="689">
        <v>0.45833333333333298</v>
      </c>
      <c r="B84" s="681" t="s">
        <v>813</v>
      </c>
      <c r="C84" s="675" t="s">
        <v>1239</v>
      </c>
      <c r="D84" s="675" t="s">
        <v>1239</v>
      </c>
      <c r="E84" s="684"/>
      <c r="F84" s="676"/>
      <c r="G84" s="676"/>
      <c r="H84" s="676"/>
      <c r="I84" s="107"/>
      <c r="J84" s="107"/>
      <c r="K84" s="107"/>
      <c r="L84" s="107"/>
      <c r="M84" s="107"/>
      <c r="N84" s="107"/>
      <c r="O84" s="107"/>
      <c r="P84" s="107"/>
      <c r="Q84" s="107"/>
      <c r="R84" s="107"/>
      <c r="S84" s="107"/>
      <c r="T84" s="107"/>
      <c r="U84" s="107"/>
      <c r="V84" s="107"/>
      <c r="W84" s="107"/>
      <c r="X84" s="107"/>
      <c r="Y84" s="107"/>
      <c r="Z84" s="107"/>
      <c r="AA84" s="107"/>
      <c r="AB84" s="107"/>
      <c r="AC84" s="107"/>
      <c r="AD84" s="107"/>
      <c r="AE84" s="107"/>
      <c r="AF84" s="107"/>
      <c r="AG84" s="101"/>
      <c r="AH84" s="101"/>
      <c r="AI84" s="101"/>
      <c r="AJ84" s="101"/>
      <c r="AK84" s="101"/>
      <c r="AL84" s="101"/>
      <c r="AM84" s="101"/>
      <c r="AN84" s="101"/>
      <c r="AO84" s="101"/>
      <c r="AP84" s="101"/>
      <c r="AQ84" s="101"/>
      <c r="AR84" s="101"/>
      <c r="AS84" s="101"/>
      <c r="AT84" s="101"/>
      <c r="AU84" s="101"/>
      <c r="AV84" s="101"/>
      <c r="AW84" s="101"/>
      <c r="AX84" s="101"/>
      <c r="AY84" s="101"/>
      <c r="AZ84" s="101"/>
      <c r="BA84" s="101"/>
    </row>
    <row r="85" spans="1:53" x14ac:dyDescent="0.25">
      <c r="A85" s="690">
        <v>0.47916666666666702</v>
      </c>
      <c r="B85" s="681" t="s">
        <v>813</v>
      </c>
      <c r="C85" s="675" t="s">
        <v>1239</v>
      </c>
      <c r="D85" s="675" t="s">
        <v>1239</v>
      </c>
      <c r="E85" s="684"/>
      <c r="F85" s="676"/>
      <c r="G85" s="676"/>
      <c r="H85" s="676"/>
      <c r="I85" s="107"/>
      <c r="J85" s="107"/>
      <c r="K85" s="107"/>
      <c r="L85" s="107"/>
      <c r="M85" s="107"/>
      <c r="N85" s="107"/>
      <c r="O85" s="107"/>
      <c r="P85" s="107"/>
      <c r="Q85" s="107"/>
      <c r="R85" s="107"/>
      <c r="S85" s="107"/>
      <c r="T85" s="107"/>
      <c r="U85" s="107"/>
      <c r="V85" s="107"/>
      <c r="W85" s="107"/>
      <c r="X85" s="107"/>
      <c r="Y85" s="107"/>
      <c r="Z85" s="107"/>
      <c r="AA85" s="107"/>
      <c r="AB85" s="107"/>
      <c r="AC85" s="107"/>
      <c r="AD85" s="107"/>
      <c r="AE85" s="107"/>
      <c r="AF85" s="107"/>
      <c r="AG85" s="101"/>
      <c r="AH85" s="101"/>
      <c r="AI85" s="101"/>
      <c r="AJ85" s="101"/>
      <c r="AK85" s="101"/>
      <c r="AL85" s="101"/>
      <c r="AM85" s="101"/>
      <c r="AN85" s="101"/>
      <c r="AO85" s="101"/>
      <c r="AP85" s="101"/>
      <c r="AQ85" s="101"/>
      <c r="AR85" s="101"/>
      <c r="AS85" s="101"/>
      <c r="AT85" s="101"/>
      <c r="AU85" s="101"/>
      <c r="AV85" s="101"/>
      <c r="AW85" s="101"/>
      <c r="AX85" s="101"/>
      <c r="AY85" s="101"/>
      <c r="AZ85" s="101"/>
      <c r="BA85" s="101"/>
    </row>
    <row r="86" spans="1:53" x14ac:dyDescent="0.25">
      <c r="A86" s="685">
        <v>0.5</v>
      </c>
      <c r="B86" s="677" t="s">
        <v>815</v>
      </c>
      <c r="C86" s="677" t="s">
        <v>815</v>
      </c>
      <c r="D86" s="677" t="s">
        <v>815</v>
      </c>
      <c r="E86" s="684"/>
      <c r="F86" s="676"/>
      <c r="G86" s="676"/>
      <c r="H86" s="676"/>
      <c r="I86" s="107"/>
      <c r="J86" s="107"/>
      <c r="K86" s="107"/>
      <c r="L86" s="107"/>
      <c r="M86" s="107"/>
      <c r="N86" s="107"/>
      <c r="O86" s="107"/>
      <c r="P86" s="107"/>
      <c r="Q86" s="107"/>
      <c r="R86" s="107"/>
      <c r="S86" s="107"/>
      <c r="T86" s="107"/>
      <c r="U86" s="107"/>
      <c r="V86" s="107"/>
      <c r="W86" s="107"/>
      <c r="X86" s="107"/>
      <c r="Y86" s="107"/>
      <c r="Z86" s="107"/>
      <c r="AA86" s="107"/>
      <c r="AB86" s="107"/>
      <c r="AC86" s="107"/>
      <c r="AD86" s="107"/>
      <c r="AE86" s="107"/>
      <c r="AF86" s="107"/>
      <c r="AG86" s="101"/>
      <c r="AH86" s="101"/>
      <c r="AI86" s="101"/>
      <c r="AJ86" s="101"/>
      <c r="AK86" s="101"/>
      <c r="AL86" s="101"/>
      <c r="AM86" s="101"/>
      <c r="AN86" s="101"/>
      <c r="AO86" s="101"/>
      <c r="AP86" s="101"/>
      <c r="AQ86" s="101"/>
      <c r="AR86" s="101"/>
      <c r="AS86" s="101"/>
      <c r="AT86" s="101"/>
      <c r="AU86" s="101"/>
      <c r="AV86" s="101"/>
      <c r="AW86" s="101"/>
      <c r="AX86" s="101"/>
      <c r="AY86" s="101"/>
      <c r="AZ86" s="101"/>
      <c r="BA86" s="101"/>
    </row>
    <row r="87" spans="1:53" x14ac:dyDescent="0.25">
      <c r="A87" s="686">
        <v>0.52083333333333304</v>
      </c>
      <c r="B87" s="677" t="s">
        <v>815</v>
      </c>
      <c r="C87" s="677" t="s">
        <v>815</v>
      </c>
      <c r="D87" s="677" t="s">
        <v>815</v>
      </c>
      <c r="E87" s="684"/>
      <c r="F87" s="676"/>
      <c r="G87" s="676"/>
      <c r="H87" s="676"/>
      <c r="I87" s="107"/>
      <c r="J87" s="107"/>
      <c r="K87" s="107"/>
      <c r="L87" s="107"/>
      <c r="M87" s="107"/>
      <c r="N87" s="107"/>
      <c r="O87" s="107"/>
      <c r="P87" s="107"/>
      <c r="Q87" s="107"/>
      <c r="R87" s="107"/>
      <c r="S87" s="107"/>
      <c r="T87" s="107"/>
      <c r="U87" s="107"/>
      <c r="V87" s="107"/>
      <c r="W87" s="107"/>
      <c r="X87" s="107"/>
      <c r="Y87" s="107"/>
      <c r="Z87" s="107"/>
      <c r="AA87" s="107"/>
      <c r="AB87" s="107"/>
      <c r="AC87" s="107"/>
      <c r="AD87" s="107"/>
      <c r="AE87" s="107"/>
      <c r="AF87" s="107"/>
      <c r="AG87" s="101"/>
      <c r="AH87" s="101"/>
      <c r="AI87" s="101"/>
      <c r="AJ87" s="101"/>
      <c r="AK87" s="101"/>
      <c r="AL87" s="101"/>
      <c r="AM87" s="101"/>
      <c r="AN87" s="101"/>
      <c r="AO87" s="101"/>
      <c r="AP87" s="101"/>
      <c r="AQ87" s="101"/>
      <c r="AR87" s="101"/>
      <c r="AS87" s="101"/>
      <c r="AT87" s="101"/>
      <c r="AU87" s="101"/>
      <c r="AV87" s="101"/>
      <c r="AW87" s="101"/>
      <c r="AX87" s="101"/>
      <c r="AY87" s="101"/>
      <c r="AZ87" s="101"/>
      <c r="BA87" s="101"/>
    </row>
    <row r="88" spans="1:53" x14ac:dyDescent="0.25">
      <c r="A88" s="687">
        <v>0.54166666666666696</v>
      </c>
      <c r="B88" s="675" t="s">
        <v>1239</v>
      </c>
      <c r="C88" s="679" t="s">
        <v>812</v>
      </c>
      <c r="D88" s="675" t="s">
        <v>1239</v>
      </c>
      <c r="E88" s="684"/>
      <c r="F88" s="676"/>
      <c r="G88" s="676"/>
      <c r="H88" s="676"/>
      <c r="I88" s="107"/>
      <c r="J88" s="107"/>
      <c r="K88" s="107"/>
      <c r="L88" s="107"/>
      <c r="M88" s="107"/>
      <c r="N88" s="107"/>
      <c r="O88" s="107"/>
      <c r="P88" s="107"/>
      <c r="Q88" s="107"/>
      <c r="R88" s="107"/>
      <c r="S88" s="107"/>
      <c r="T88" s="107"/>
      <c r="U88" s="107"/>
      <c r="V88" s="107"/>
      <c r="W88" s="107"/>
      <c r="X88" s="107"/>
      <c r="Y88" s="107"/>
      <c r="Z88" s="107"/>
      <c r="AA88" s="107"/>
      <c r="AB88" s="107"/>
      <c r="AC88" s="107"/>
      <c r="AD88" s="107"/>
      <c r="AE88" s="107"/>
      <c r="AF88" s="107"/>
      <c r="AG88" s="101"/>
      <c r="AH88" s="101"/>
      <c r="AI88" s="101"/>
      <c r="AJ88" s="101"/>
      <c r="AK88" s="101"/>
      <c r="AL88" s="101"/>
      <c r="AM88" s="101"/>
      <c r="AN88" s="101"/>
      <c r="AO88" s="101"/>
      <c r="AP88" s="101"/>
      <c r="AQ88" s="101"/>
      <c r="AR88" s="101"/>
      <c r="AS88" s="101"/>
      <c r="AT88" s="101"/>
      <c r="AU88" s="101"/>
      <c r="AV88" s="101"/>
      <c r="AW88" s="101"/>
      <c r="AX88" s="101"/>
      <c r="AY88" s="101"/>
      <c r="AZ88" s="101"/>
      <c r="BA88" s="101"/>
    </row>
    <row r="89" spans="1:53" x14ac:dyDescent="0.25">
      <c r="A89" s="686">
        <v>0.5625</v>
      </c>
      <c r="B89" s="675" t="s">
        <v>1239</v>
      </c>
      <c r="C89" s="679" t="s">
        <v>812</v>
      </c>
      <c r="D89" s="675" t="s">
        <v>1239</v>
      </c>
      <c r="E89" s="684"/>
      <c r="F89" s="676"/>
      <c r="G89" s="676"/>
      <c r="H89" s="676"/>
      <c r="I89" s="107"/>
      <c r="J89" s="107"/>
      <c r="K89" s="107"/>
      <c r="L89" s="107"/>
      <c r="M89" s="107"/>
      <c r="N89" s="107"/>
      <c r="O89" s="107"/>
      <c r="P89" s="107"/>
      <c r="Q89" s="107"/>
      <c r="R89" s="107"/>
      <c r="S89" s="107"/>
      <c r="T89" s="107"/>
      <c r="U89" s="107"/>
      <c r="V89" s="107"/>
      <c r="W89" s="107"/>
      <c r="X89" s="107"/>
      <c r="Y89" s="107"/>
      <c r="Z89" s="107"/>
      <c r="AA89" s="107"/>
      <c r="AB89" s="107"/>
      <c r="AC89" s="107"/>
      <c r="AD89" s="107"/>
      <c r="AE89" s="107"/>
      <c r="AF89" s="107"/>
      <c r="AG89" s="101"/>
      <c r="AH89" s="101"/>
      <c r="AI89" s="101"/>
      <c r="AJ89" s="101"/>
      <c r="AK89" s="101"/>
      <c r="AL89" s="101"/>
      <c r="AM89" s="101"/>
      <c r="AN89" s="101"/>
      <c r="AO89" s="101"/>
      <c r="AP89" s="101"/>
      <c r="AQ89" s="101"/>
      <c r="AR89" s="101"/>
      <c r="AS89" s="101"/>
      <c r="AT89" s="101"/>
      <c r="AU89" s="101"/>
      <c r="AV89" s="101"/>
      <c r="AW89" s="101"/>
      <c r="AX89" s="101"/>
      <c r="AY89" s="101"/>
      <c r="AZ89" s="101"/>
      <c r="BA89" s="101"/>
    </row>
    <row r="90" spans="1:53" x14ac:dyDescent="0.25">
      <c r="A90" s="687">
        <v>0.58333333333333304</v>
      </c>
      <c r="B90" s="675" t="s">
        <v>1239</v>
      </c>
      <c r="C90" s="681" t="s">
        <v>813</v>
      </c>
      <c r="D90" s="675" t="s">
        <v>1239</v>
      </c>
      <c r="E90" s="684"/>
      <c r="F90" s="676"/>
      <c r="G90" s="676"/>
      <c r="H90" s="676"/>
      <c r="I90" s="107"/>
      <c r="J90" s="107"/>
      <c r="K90" s="107"/>
      <c r="L90" s="107"/>
      <c r="M90" s="107"/>
      <c r="N90" s="107"/>
      <c r="O90" s="107"/>
      <c r="P90" s="107"/>
      <c r="Q90" s="107"/>
      <c r="R90" s="107"/>
      <c r="S90" s="107"/>
      <c r="T90" s="107"/>
      <c r="U90" s="107"/>
      <c r="V90" s="107"/>
      <c r="W90" s="107"/>
      <c r="X90" s="107"/>
      <c r="Y90" s="107"/>
      <c r="Z90" s="107"/>
      <c r="AA90" s="107"/>
      <c r="AB90" s="107"/>
      <c r="AC90" s="107"/>
      <c r="AD90" s="107"/>
      <c r="AE90" s="107"/>
      <c r="AF90" s="107"/>
      <c r="AG90" s="101"/>
      <c r="AH90" s="101"/>
      <c r="AI90" s="101"/>
      <c r="AJ90" s="101"/>
      <c r="AK90" s="101"/>
      <c r="AL90" s="101"/>
      <c r="AM90" s="101"/>
      <c r="AN90" s="101"/>
      <c r="AO90" s="101"/>
      <c r="AP90" s="101"/>
      <c r="AQ90" s="101"/>
      <c r="AR90" s="101"/>
      <c r="AS90" s="101"/>
      <c r="AT90" s="101"/>
      <c r="AU90" s="101"/>
      <c r="AV90" s="101"/>
      <c r="AW90" s="101"/>
      <c r="AX90" s="101"/>
      <c r="AY90" s="101"/>
      <c r="AZ90" s="101"/>
      <c r="BA90" s="101"/>
    </row>
    <row r="91" spans="1:53" x14ac:dyDescent="0.25">
      <c r="A91" s="686">
        <v>0.60416666666666696</v>
      </c>
      <c r="B91" s="675" t="s">
        <v>1239</v>
      </c>
      <c r="C91" s="681" t="s">
        <v>813</v>
      </c>
      <c r="D91" s="675" t="s">
        <v>1239</v>
      </c>
      <c r="E91" s="684"/>
      <c r="F91" s="676"/>
      <c r="G91" s="676"/>
      <c r="H91" s="676"/>
      <c r="I91" s="107"/>
      <c r="J91" s="107"/>
      <c r="K91" s="107"/>
      <c r="L91" s="107"/>
      <c r="M91" s="107"/>
      <c r="N91" s="107"/>
      <c r="O91" s="107"/>
      <c r="P91" s="107"/>
      <c r="Q91" s="107"/>
      <c r="R91" s="107"/>
      <c r="S91" s="107"/>
      <c r="T91" s="107"/>
      <c r="U91" s="107"/>
      <c r="V91" s="107"/>
      <c r="W91" s="107"/>
      <c r="X91" s="107"/>
      <c r="Y91" s="107"/>
      <c r="Z91" s="107"/>
      <c r="AA91" s="107"/>
      <c r="AB91" s="107"/>
      <c r="AC91" s="107"/>
      <c r="AD91" s="107"/>
      <c r="AE91" s="107"/>
      <c r="AF91" s="107"/>
      <c r="AG91" s="101"/>
      <c r="AH91" s="101"/>
      <c r="AI91" s="101"/>
      <c r="AJ91" s="101"/>
      <c r="AK91" s="101"/>
      <c r="AL91" s="101"/>
      <c r="AM91" s="101"/>
      <c r="AN91" s="101"/>
      <c r="AO91" s="101"/>
      <c r="AP91" s="101"/>
      <c r="AQ91" s="101"/>
      <c r="AR91" s="101"/>
      <c r="AS91" s="101"/>
      <c r="AT91" s="101"/>
      <c r="AU91" s="101"/>
      <c r="AV91" s="101"/>
      <c r="AW91" s="101"/>
      <c r="AX91" s="101"/>
      <c r="AY91" s="101"/>
      <c r="AZ91" s="101"/>
      <c r="BA91" s="101"/>
    </row>
    <row r="92" spans="1:53" x14ac:dyDescent="0.25">
      <c r="A92" s="687">
        <v>0.625</v>
      </c>
      <c r="B92" s="675" t="s">
        <v>1239</v>
      </c>
      <c r="C92" s="675" t="s">
        <v>1239</v>
      </c>
      <c r="D92" s="675" t="s">
        <v>1239</v>
      </c>
      <c r="E92" s="684"/>
      <c r="F92" s="676"/>
      <c r="G92" s="676"/>
      <c r="H92" s="676"/>
      <c r="I92" s="107"/>
      <c r="J92" s="107"/>
      <c r="K92" s="107"/>
      <c r="L92" s="107"/>
      <c r="M92" s="107"/>
      <c r="N92" s="107"/>
      <c r="O92" s="107"/>
      <c r="P92" s="107"/>
      <c r="Q92" s="107"/>
      <c r="R92" s="107"/>
      <c r="S92" s="107"/>
      <c r="T92" s="107"/>
      <c r="U92" s="107"/>
      <c r="V92" s="107"/>
      <c r="W92" s="107"/>
      <c r="X92" s="107"/>
      <c r="Y92" s="107"/>
      <c r="Z92" s="107"/>
      <c r="AA92" s="107"/>
      <c r="AB92" s="107"/>
      <c r="AC92" s="107"/>
      <c r="AD92" s="107"/>
      <c r="AE92" s="107"/>
      <c r="AF92" s="107"/>
      <c r="AG92" s="101"/>
      <c r="AH92" s="101"/>
      <c r="AI92" s="101"/>
      <c r="AJ92" s="101"/>
      <c r="AK92" s="101"/>
      <c r="AL92" s="101"/>
      <c r="AM92" s="101"/>
      <c r="AN92" s="101"/>
      <c r="AO92" s="101"/>
      <c r="AP92" s="101"/>
      <c r="AQ92" s="101"/>
      <c r="AR92" s="101"/>
      <c r="AS92" s="101"/>
      <c r="AT92" s="101"/>
      <c r="AU92" s="101"/>
      <c r="AV92" s="101"/>
      <c r="AW92" s="101"/>
      <c r="AX92" s="101"/>
      <c r="AY92" s="101"/>
      <c r="AZ92" s="101"/>
      <c r="BA92" s="101"/>
    </row>
    <row r="93" spans="1:53" x14ac:dyDescent="0.25">
      <c r="A93" s="686">
        <v>0.64583333333333304</v>
      </c>
      <c r="B93" s="675" t="s">
        <v>1239</v>
      </c>
      <c r="C93" s="675" t="s">
        <v>1239</v>
      </c>
      <c r="D93" s="675" t="s">
        <v>1239</v>
      </c>
      <c r="E93" s="684"/>
      <c r="F93" s="676"/>
      <c r="G93" s="676"/>
      <c r="H93" s="676"/>
      <c r="I93" s="107"/>
      <c r="J93" s="107"/>
      <c r="K93" s="107"/>
      <c r="L93" s="107"/>
      <c r="M93" s="107"/>
      <c r="N93" s="107"/>
      <c r="O93" s="107"/>
      <c r="P93" s="107"/>
      <c r="Q93" s="107"/>
      <c r="R93" s="107"/>
      <c r="S93" s="107"/>
      <c r="T93" s="107"/>
      <c r="U93" s="107"/>
      <c r="V93" s="107"/>
      <c r="W93" s="107"/>
      <c r="X93" s="107"/>
      <c r="Y93" s="107"/>
      <c r="Z93" s="107"/>
      <c r="AA93" s="107"/>
      <c r="AB93" s="107"/>
      <c r="AC93" s="107"/>
      <c r="AD93" s="107"/>
      <c r="AE93" s="107"/>
      <c r="AF93" s="107"/>
      <c r="AG93" s="101"/>
      <c r="AH93" s="101"/>
      <c r="AI93" s="101"/>
      <c r="AJ93" s="101"/>
      <c r="AK93" s="101"/>
      <c r="AL93" s="101"/>
      <c r="AM93" s="101"/>
      <c r="AN93" s="101"/>
      <c r="AO93" s="101"/>
      <c r="AP93" s="101"/>
      <c r="AQ93" s="101"/>
      <c r="AR93" s="101"/>
      <c r="AS93" s="101"/>
      <c r="AT93" s="101"/>
      <c r="AU93" s="101"/>
      <c r="AV93" s="101"/>
      <c r="AW93" s="101"/>
      <c r="AX93" s="101"/>
      <c r="AY93" s="101"/>
      <c r="AZ93" s="101"/>
      <c r="BA93" s="101"/>
    </row>
    <row r="94" spans="1:53" x14ac:dyDescent="0.25">
      <c r="A94" s="687">
        <v>0.66666666666666696</v>
      </c>
      <c r="B94" s="675" t="s">
        <v>1239</v>
      </c>
      <c r="C94" s="675" t="s">
        <v>1239</v>
      </c>
      <c r="D94" s="679" t="s">
        <v>812</v>
      </c>
      <c r="E94" s="684"/>
      <c r="F94" s="676"/>
      <c r="G94" s="676"/>
      <c r="H94" s="676"/>
      <c r="I94" s="107"/>
      <c r="J94" s="107"/>
      <c r="K94" s="107"/>
      <c r="L94" s="107"/>
      <c r="M94" s="107"/>
      <c r="N94" s="107"/>
      <c r="O94" s="107"/>
      <c r="P94" s="107"/>
      <c r="Q94" s="107"/>
      <c r="R94" s="107"/>
      <c r="S94" s="107"/>
      <c r="T94" s="107"/>
      <c r="U94" s="107"/>
      <c r="V94" s="107"/>
      <c r="W94" s="107"/>
      <c r="X94" s="107"/>
      <c r="Y94" s="107"/>
      <c r="Z94" s="107"/>
      <c r="AA94" s="107"/>
      <c r="AB94" s="107"/>
      <c r="AC94" s="107"/>
      <c r="AD94" s="107"/>
      <c r="AE94" s="107"/>
      <c r="AF94" s="107"/>
      <c r="AG94" s="101"/>
      <c r="AH94" s="101"/>
      <c r="AI94" s="101"/>
      <c r="AJ94" s="101"/>
      <c r="AK94" s="101"/>
      <c r="AL94" s="101"/>
      <c r="AM94" s="101"/>
      <c r="AN94" s="101"/>
      <c r="AO94" s="101"/>
      <c r="AP94" s="101"/>
      <c r="AQ94" s="101"/>
      <c r="AR94" s="101"/>
      <c r="AS94" s="101"/>
      <c r="AT94" s="101"/>
      <c r="AU94" s="101"/>
      <c r="AV94" s="101"/>
      <c r="AW94" s="101"/>
      <c r="AX94" s="101"/>
      <c r="AY94" s="101"/>
      <c r="AZ94" s="101"/>
      <c r="BA94" s="101"/>
    </row>
    <row r="95" spans="1:53" x14ac:dyDescent="0.25">
      <c r="A95" s="686">
        <v>0.6875</v>
      </c>
      <c r="B95" s="675" t="s">
        <v>1239</v>
      </c>
      <c r="C95" s="675" t="s">
        <v>1239</v>
      </c>
      <c r="D95" s="679" t="s">
        <v>812</v>
      </c>
      <c r="E95" s="684"/>
      <c r="F95" s="676"/>
      <c r="G95" s="676"/>
      <c r="H95" s="676"/>
      <c r="I95" s="107"/>
      <c r="J95" s="107"/>
      <c r="K95" s="107"/>
      <c r="L95" s="107"/>
      <c r="M95" s="107"/>
      <c r="N95" s="107"/>
      <c r="O95" s="107"/>
      <c r="P95" s="107"/>
      <c r="Q95" s="107"/>
      <c r="R95" s="107"/>
      <c r="S95" s="107"/>
      <c r="T95" s="107"/>
      <c r="U95" s="107"/>
      <c r="V95" s="107"/>
      <c r="W95" s="107"/>
      <c r="X95" s="107"/>
      <c r="Y95" s="107"/>
      <c r="Z95" s="107"/>
      <c r="AA95" s="107"/>
      <c r="AB95" s="107"/>
      <c r="AC95" s="107"/>
      <c r="AD95" s="107"/>
      <c r="AE95" s="107"/>
      <c r="AF95" s="107"/>
      <c r="AG95" s="101"/>
      <c r="AH95" s="101"/>
      <c r="AI95" s="101"/>
      <c r="AJ95" s="101"/>
      <c r="AK95" s="101"/>
      <c r="AL95" s="101"/>
      <c r="AM95" s="101"/>
      <c r="AN95" s="101"/>
      <c r="AO95" s="101"/>
      <c r="AP95" s="101"/>
      <c r="AQ95" s="101"/>
      <c r="AR95" s="101"/>
      <c r="AS95" s="101"/>
      <c r="AT95" s="101"/>
      <c r="AU95" s="101"/>
      <c r="AV95" s="101"/>
      <c r="AW95" s="101"/>
      <c r="AX95" s="101"/>
      <c r="AY95" s="101"/>
      <c r="AZ95" s="101"/>
      <c r="BA95" s="101"/>
    </row>
    <row r="96" spans="1:53" x14ac:dyDescent="0.25">
      <c r="A96" s="687">
        <v>0.70833333333333304</v>
      </c>
      <c r="B96" s="674" t="s">
        <v>811</v>
      </c>
      <c r="C96" s="674" t="s">
        <v>811</v>
      </c>
      <c r="D96" s="681" t="s">
        <v>813</v>
      </c>
      <c r="E96" s="684"/>
      <c r="F96" s="676"/>
      <c r="G96" s="676"/>
      <c r="H96" s="676"/>
      <c r="I96" s="107"/>
      <c r="J96" s="107"/>
      <c r="K96" s="107"/>
      <c r="L96" s="107"/>
      <c r="M96" s="107"/>
      <c r="N96" s="107"/>
      <c r="O96" s="107"/>
      <c r="P96" s="107"/>
      <c r="Q96" s="107"/>
      <c r="R96" s="107"/>
      <c r="S96" s="107"/>
      <c r="T96" s="107"/>
      <c r="U96" s="107"/>
      <c r="V96" s="107"/>
      <c r="W96" s="107"/>
      <c r="X96" s="107"/>
      <c r="Y96" s="107"/>
      <c r="Z96" s="107"/>
      <c r="AA96" s="107"/>
      <c r="AB96" s="107"/>
      <c r="AC96" s="107"/>
      <c r="AD96" s="107"/>
      <c r="AE96" s="107"/>
      <c r="AF96" s="107"/>
      <c r="AG96" s="101"/>
      <c r="AH96" s="101"/>
      <c r="AI96" s="101"/>
      <c r="AJ96" s="101"/>
      <c r="AK96" s="101"/>
      <c r="AL96" s="101"/>
      <c r="AM96" s="101"/>
      <c r="AN96" s="101"/>
      <c r="AO96" s="101"/>
      <c r="AP96" s="101"/>
      <c r="AQ96" s="101"/>
      <c r="AR96" s="101"/>
      <c r="AS96" s="101"/>
      <c r="AT96" s="101"/>
      <c r="AU96" s="101"/>
      <c r="AV96" s="101"/>
      <c r="AW96" s="101"/>
      <c r="AX96" s="101"/>
      <c r="AY96" s="101"/>
      <c r="AZ96" s="101"/>
      <c r="BA96" s="101"/>
    </row>
    <row r="97" spans="1:53" x14ac:dyDescent="0.25">
      <c r="A97" s="686">
        <v>0.72916666666666696</v>
      </c>
      <c r="B97" s="674" t="s">
        <v>811</v>
      </c>
      <c r="C97" s="674" t="s">
        <v>811</v>
      </c>
      <c r="D97" s="681" t="s">
        <v>813</v>
      </c>
      <c r="E97" s="684"/>
      <c r="F97" s="676"/>
      <c r="G97" s="676"/>
      <c r="H97" s="676"/>
      <c r="I97" s="107"/>
      <c r="J97" s="107"/>
      <c r="K97" s="107"/>
      <c r="L97" s="107"/>
      <c r="M97" s="107"/>
      <c r="N97" s="107"/>
      <c r="O97" s="107"/>
      <c r="P97" s="107"/>
      <c r="Q97" s="107"/>
      <c r="R97" s="107"/>
      <c r="S97" s="107"/>
      <c r="T97" s="107"/>
      <c r="U97" s="107"/>
      <c r="V97" s="107"/>
      <c r="W97" s="107"/>
      <c r="X97" s="107"/>
      <c r="Y97" s="107"/>
      <c r="Z97" s="107"/>
      <c r="AA97" s="107"/>
      <c r="AB97" s="107"/>
      <c r="AC97" s="107"/>
      <c r="AD97" s="107"/>
      <c r="AE97" s="107"/>
      <c r="AF97" s="107"/>
      <c r="AG97" s="101"/>
      <c r="AH97" s="101"/>
      <c r="AI97" s="101"/>
      <c r="AJ97" s="101"/>
      <c r="AK97" s="101"/>
      <c r="AL97" s="101"/>
      <c r="AM97" s="101"/>
      <c r="AN97" s="101"/>
      <c r="AO97" s="101"/>
      <c r="AP97" s="101"/>
      <c r="AQ97" s="101"/>
      <c r="AR97" s="101"/>
      <c r="AS97" s="101"/>
      <c r="AT97" s="101"/>
      <c r="AU97" s="101"/>
      <c r="AV97" s="101"/>
      <c r="AW97" s="101"/>
      <c r="AX97" s="101"/>
      <c r="AY97" s="101"/>
      <c r="AZ97" s="101"/>
      <c r="BA97" s="101"/>
    </row>
    <row r="98" spans="1:53" x14ac:dyDescent="0.25">
      <c r="A98" s="687">
        <v>0.75</v>
      </c>
      <c r="B98" s="674" t="s">
        <v>811</v>
      </c>
      <c r="C98" s="674" t="s">
        <v>811</v>
      </c>
      <c r="D98" s="674" t="s">
        <v>811</v>
      </c>
      <c r="E98" s="684"/>
      <c r="F98" s="676"/>
      <c r="G98" s="676"/>
      <c r="H98" s="676"/>
      <c r="I98" s="107"/>
      <c r="J98" s="107"/>
      <c r="K98" s="107"/>
      <c r="L98" s="107"/>
      <c r="M98" s="107"/>
      <c r="N98" s="107"/>
      <c r="O98" s="107"/>
      <c r="P98" s="107"/>
      <c r="Q98" s="107"/>
      <c r="R98" s="107"/>
      <c r="S98" s="107"/>
      <c r="T98" s="107"/>
      <c r="U98" s="107"/>
      <c r="V98" s="107"/>
      <c r="W98" s="107"/>
      <c r="X98" s="107"/>
      <c r="Y98" s="107"/>
      <c r="Z98" s="107"/>
      <c r="AA98" s="107"/>
      <c r="AB98" s="107"/>
      <c r="AC98" s="107"/>
      <c r="AD98" s="107"/>
      <c r="AE98" s="107"/>
      <c r="AF98" s="107"/>
      <c r="AG98" s="101"/>
      <c r="AH98" s="101"/>
      <c r="AI98" s="101"/>
      <c r="AJ98" s="101"/>
      <c r="AK98" s="101"/>
      <c r="AL98" s="101"/>
      <c r="AM98" s="101"/>
      <c r="AN98" s="101"/>
      <c r="AO98" s="101"/>
      <c r="AP98" s="101"/>
      <c r="AQ98" s="101"/>
      <c r="AR98" s="101"/>
      <c r="AS98" s="101"/>
      <c r="AT98" s="101"/>
      <c r="AU98" s="101"/>
      <c r="AV98" s="101"/>
      <c r="AW98" s="101"/>
      <c r="AX98" s="101"/>
      <c r="AY98" s="101"/>
      <c r="AZ98" s="101"/>
      <c r="BA98" s="101"/>
    </row>
    <row r="99" spans="1:53" x14ac:dyDescent="0.25">
      <c r="A99" s="686">
        <v>0.77083333333333304</v>
      </c>
      <c r="B99" s="674" t="s">
        <v>811</v>
      </c>
      <c r="C99" s="674" t="s">
        <v>811</v>
      </c>
      <c r="D99" s="674" t="s">
        <v>811</v>
      </c>
      <c r="E99" s="684"/>
      <c r="F99" s="676"/>
      <c r="G99" s="676"/>
      <c r="H99" s="676"/>
      <c r="I99" s="107"/>
      <c r="J99" s="107"/>
      <c r="K99" s="107"/>
      <c r="L99" s="107"/>
      <c r="M99" s="107"/>
      <c r="N99" s="107"/>
      <c r="O99" s="107"/>
      <c r="P99" s="107"/>
      <c r="Q99" s="107"/>
      <c r="R99" s="107"/>
      <c r="S99" s="107"/>
      <c r="T99" s="107"/>
      <c r="U99" s="107"/>
      <c r="V99" s="107"/>
      <c r="W99" s="107"/>
      <c r="X99" s="107"/>
      <c r="Y99" s="107"/>
      <c r="Z99" s="107"/>
      <c r="AA99" s="107"/>
      <c r="AB99" s="107"/>
      <c r="AC99" s="107"/>
      <c r="AD99" s="107"/>
      <c r="AE99" s="107"/>
      <c r="AF99" s="107"/>
      <c r="AG99" s="101"/>
      <c r="AH99" s="101"/>
      <c r="AI99" s="101"/>
      <c r="AJ99" s="101"/>
      <c r="AK99" s="101"/>
      <c r="AL99" s="101"/>
      <c r="AM99" s="101"/>
      <c r="AN99" s="101"/>
      <c r="AO99" s="101"/>
      <c r="AP99" s="101"/>
      <c r="AQ99" s="101"/>
      <c r="AR99" s="101"/>
      <c r="AS99" s="101"/>
      <c r="AT99" s="101"/>
      <c r="AU99" s="101"/>
      <c r="AV99" s="101"/>
      <c r="AW99" s="101"/>
      <c r="AX99" s="101"/>
      <c r="AY99" s="101"/>
      <c r="AZ99" s="101"/>
      <c r="BA99" s="101"/>
    </row>
    <row r="100" spans="1:53" x14ac:dyDescent="0.25">
      <c r="A100" s="687">
        <v>0.79166666666666696</v>
      </c>
      <c r="B100" s="677" t="s">
        <v>816</v>
      </c>
      <c r="C100" s="677" t="s">
        <v>816</v>
      </c>
      <c r="D100" s="677" t="s">
        <v>816</v>
      </c>
      <c r="E100" s="684"/>
      <c r="F100" s="676"/>
      <c r="G100" s="676"/>
      <c r="H100" s="676"/>
      <c r="I100" s="107"/>
      <c r="J100" s="107"/>
      <c r="K100" s="107"/>
      <c r="L100" s="107"/>
      <c r="M100" s="107"/>
      <c r="N100" s="107"/>
      <c r="O100" s="107"/>
      <c r="P100" s="107"/>
      <c r="Q100" s="107"/>
      <c r="R100" s="107"/>
      <c r="S100" s="107"/>
      <c r="T100" s="107"/>
      <c r="U100" s="107"/>
      <c r="V100" s="107"/>
      <c r="W100" s="107"/>
      <c r="X100" s="107"/>
      <c r="Y100" s="107"/>
      <c r="Z100" s="107"/>
      <c r="AA100" s="107"/>
      <c r="AB100" s="107"/>
      <c r="AC100" s="107"/>
      <c r="AD100" s="107"/>
      <c r="AE100" s="107"/>
      <c r="AF100" s="107"/>
      <c r="AG100" s="101"/>
      <c r="AH100" s="101"/>
      <c r="AI100" s="101"/>
      <c r="AJ100" s="101"/>
      <c r="AK100" s="101"/>
      <c r="AL100" s="101"/>
      <c r="AM100" s="101"/>
      <c r="AN100" s="101"/>
      <c r="AO100" s="101"/>
      <c r="AP100" s="101"/>
      <c r="AQ100" s="101"/>
      <c r="AR100" s="101"/>
      <c r="AS100" s="101"/>
      <c r="AT100" s="101"/>
      <c r="AU100" s="101"/>
      <c r="AV100" s="101"/>
      <c r="AW100" s="101"/>
      <c r="AX100" s="101"/>
      <c r="AY100" s="101"/>
      <c r="AZ100" s="101"/>
      <c r="BA100" s="101"/>
    </row>
    <row r="101" spans="1:53" x14ac:dyDescent="0.25">
      <c r="A101" s="686">
        <v>0.8125</v>
      </c>
      <c r="B101" s="677" t="s">
        <v>816</v>
      </c>
      <c r="C101" s="677" t="s">
        <v>816</v>
      </c>
      <c r="D101" s="677" t="s">
        <v>816</v>
      </c>
      <c r="E101" s="684"/>
      <c r="F101" s="676"/>
      <c r="G101" s="676"/>
      <c r="H101" s="676"/>
      <c r="I101" s="107"/>
      <c r="J101" s="107"/>
      <c r="K101" s="107"/>
      <c r="L101" s="107"/>
      <c r="M101" s="107"/>
      <c r="N101" s="107"/>
      <c r="O101" s="107"/>
      <c r="P101" s="107"/>
      <c r="Q101" s="107"/>
      <c r="R101" s="107"/>
      <c r="S101" s="107"/>
      <c r="T101" s="107"/>
      <c r="U101" s="107"/>
      <c r="V101" s="107"/>
      <c r="W101" s="107"/>
      <c r="X101" s="107"/>
      <c r="Y101" s="107"/>
      <c r="Z101" s="107"/>
      <c r="AA101" s="107"/>
      <c r="AB101" s="107"/>
      <c r="AC101" s="107"/>
      <c r="AD101" s="107"/>
      <c r="AE101" s="107"/>
      <c r="AF101" s="107"/>
      <c r="AG101" s="101"/>
      <c r="AH101" s="101"/>
      <c r="AI101" s="101"/>
      <c r="AJ101" s="101"/>
      <c r="AK101" s="101"/>
      <c r="AL101" s="101"/>
      <c r="AM101" s="101"/>
      <c r="AN101" s="101"/>
      <c r="AO101" s="101"/>
      <c r="AP101" s="101"/>
      <c r="AQ101" s="101"/>
      <c r="AR101" s="101"/>
      <c r="AS101" s="101"/>
      <c r="AT101" s="101"/>
      <c r="AU101" s="101"/>
      <c r="AV101" s="101"/>
      <c r="AW101" s="101"/>
      <c r="AX101" s="101"/>
      <c r="AY101" s="101"/>
      <c r="AZ101" s="101"/>
      <c r="BA101" s="101"/>
    </row>
    <row r="102" spans="1:53" x14ac:dyDescent="0.25">
      <c r="A102" s="687">
        <v>0.83333333333333304</v>
      </c>
      <c r="B102" s="674" t="s">
        <v>811</v>
      </c>
      <c r="C102" s="674" t="s">
        <v>811</v>
      </c>
      <c r="D102" s="674" t="s">
        <v>811</v>
      </c>
      <c r="E102" s="684"/>
      <c r="F102" s="676"/>
      <c r="G102" s="676"/>
      <c r="H102" s="676"/>
      <c r="I102" s="107"/>
      <c r="J102" s="107"/>
      <c r="K102" s="107"/>
      <c r="L102" s="107"/>
      <c r="M102" s="107"/>
      <c r="N102" s="107"/>
      <c r="O102" s="107"/>
      <c r="P102" s="107"/>
      <c r="Q102" s="107"/>
      <c r="R102" s="107"/>
      <c r="S102" s="107"/>
      <c r="T102" s="107"/>
      <c r="U102" s="107"/>
      <c r="V102" s="107"/>
      <c r="W102" s="107"/>
      <c r="X102" s="107"/>
      <c r="Y102" s="107"/>
      <c r="Z102" s="107"/>
      <c r="AA102" s="107"/>
      <c r="AB102" s="107"/>
      <c r="AC102" s="107"/>
      <c r="AD102" s="107"/>
      <c r="AE102" s="107"/>
      <c r="AF102" s="107"/>
      <c r="AG102" s="101"/>
      <c r="AH102" s="101"/>
      <c r="AI102" s="101"/>
      <c r="AJ102" s="101"/>
      <c r="AK102" s="101"/>
      <c r="AL102" s="101"/>
      <c r="AM102" s="101"/>
      <c r="AN102" s="101"/>
      <c r="AO102" s="101"/>
      <c r="AP102" s="101"/>
      <c r="AQ102" s="101"/>
      <c r="AR102" s="101"/>
      <c r="AS102" s="101"/>
      <c r="AT102" s="101"/>
      <c r="AU102" s="101"/>
      <c r="AV102" s="101"/>
      <c r="AW102" s="101"/>
      <c r="AX102" s="101"/>
      <c r="AY102" s="101"/>
      <c r="AZ102" s="101"/>
      <c r="BA102" s="101"/>
    </row>
    <row r="103" spans="1:53" x14ac:dyDescent="0.25">
      <c r="A103" s="686">
        <v>0.85416666666666696</v>
      </c>
      <c r="B103" s="674" t="s">
        <v>811</v>
      </c>
      <c r="C103" s="674" t="s">
        <v>811</v>
      </c>
      <c r="D103" s="674" t="s">
        <v>811</v>
      </c>
      <c r="E103" s="684"/>
      <c r="F103" s="676"/>
      <c r="G103" s="676"/>
      <c r="H103" s="676"/>
      <c r="I103" s="107"/>
      <c r="J103" s="107"/>
      <c r="K103" s="107"/>
      <c r="L103" s="107"/>
      <c r="M103" s="107"/>
      <c r="N103" s="107"/>
      <c r="O103" s="107"/>
      <c r="P103" s="107"/>
      <c r="Q103" s="107"/>
      <c r="R103" s="107"/>
      <c r="S103" s="107"/>
      <c r="T103" s="107"/>
      <c r="U103" s="107"/>
      <c r="V103" s="107"/>
      <c r="W103" s="107"/>
      <c r="X103" s="107"/>
      <c r="Y103" s="107"/>
      <c r="Z103" s="107"/>
      <c r="AA103" s="107"/>
      <c r="AB103" s="107"/>
      <c r="AC103" s="107"/>
      <c r="AD103" s="107"/>
      <c r="AE103" s="107"/>
      <c r="AF103" s="107"/>
      <c r="AG103" s="101"/>
      <c r="AH103" s="101"/>
      <c r="AI103" s="101"/>
      <c r="AJ103" s="101"/>
      <c r="AK103" s="101"/>
      <c r="AL103" s="101"/>
      <c r="AM103" s="101"/>
      <c r="AN103" s="101"/>
      <c r="AO103" s="101"/>
      <c r="AP103" s="101"/>
      <c r="AQ103" s="101"/>
      <c r="AR103" s="101"/>
      <c r="AS103" s="101"/>
      <c r="AT103" s="101"/>
      <c r="AU103" s="101"/>
      <c r="AV103" s="101"/>
      <c r="AW103" s="101"/>
      <c r="AX103" s="101"/>
      <c r="AY103" s="101"/>
      <c r="AZ103" s="101"/>
      <c r="BA103" s="101"/>
    </row>
    <row r="104" spans="1:53" x14ac:dyDescent="0.25">
      <c r="A104" s="687">
        <v>0.875</v>
      </c>
      <c r="B104" s="678" t="s">
        <v>809</v>
      </c>
      <c r="C104" s="678" t="s">
        <v>809</v>
      </c>
      <c r="D104" s="678" t="s">
        <v>809</v>
      </c>
      <c r="E104" s="684"/>
      <c r="F104" s="676"/>
      <c r="G104" s="676"/>
      <c r="H104" s="676"/>
      <c r="I104" s="107"/>
      <c r="J104" s="107"/>
      <c r="K104" s="107"/>
      <c r="L104" s="107"/>
      <c r="M104" s="107"/>
      <c r="N104" s="107"/>
      <c r="O104" s="107"/>
      <c r="P104" s="107"/>
      <c r="Q104" s="107"/>
      <c r="R104" s="107"/>
      <c r="S104" s="107"/>
      <c r="T104" s="107"/>
      <c r="U104" s="107"/>
      <c r="V104" s="107"/>
      <c r="W104" s="107"/>
      <c r="X104" s="107"/>
      <c r="Y104" s="107"/>
      <c r="Z104" s="107"/>
      <c r="AA104" s="107"/>
      <c r="AB104" s="107"/>
      <c r="AC104" s="107"/>
      <c r="AD104" s="107"/>
      <c r="AE104" s="107"/>
      <c r="AF104" s="107"/>
      <c r="AG104" s="101"/>
      <c r="AH104" s="101"/>
      <c r="AI104" s="101"/>
      <c r="AJ104" s="101"/>
      <c r="AK104" s="101"/>
      <c r="AL104" s="101"/>
      <c r="AM104" s="101"/>
      <c r="AN104" s="101"/>
      <c r="AO104" s="101"/>
      <c r="AP104" s="101"/>
      <c r="AQ104" s="101"/>
      <c r="AR104" s="101"/>
      <c r="AS104" s="101"/>
      <c r="AT104" s="101"/>
      <c r="AU104" s="101"/>
      <c r="AV104" s="101"/>
      <c r="AW104" s="101"/>
      <c r="AX104" s="101"/>
      <c r="AY104" s="101"/>
      <c r="AZ104" s="101"/>
      <c r="BA104" s="101"/>
    </row>
    <row r="105" spans="1:53" x14ac:dyDescent="0.25">
      <c r="A105" s="686">
        <v>0.89583333333333304</v>
      </c>
      <c r="B105" s="678" t="s">
        <v>809</v>
      </c>
      <c r="C105" s="678" t="s">
        <v>809</v>
      </c>
      <c r="D105" s="678" t="s">
        <v>809</v>
      </c>
      <c r="E105" s="684"/>
      <c r="F105" s="676"/>
      <c r="G105" s="676"/>
      <c r="H105" s="676"/>
      <c r="I105" s="107"/>
      <c r="J105" s="107"/>
      <c r="K105" s="107"/>
      <c r="L105" s="107"/>
      <c r="M105" s="107"/>
      <c r="N105" s="107"/>
      <c r="O105" s="107"/>
      <c r="P105" s="107"/>
      <c r="Q105" s="107"/>
      <c r="R105" s="107"/>
      <c r="S105" s="107"/>
      <c r="T105" s="107"/>
      <c r="U105" s="107"/>
      <c r="V105" s="107"/>
      <c r="W105" s="107"/>
      <c r="X105" s="107"/>
      <c r="Y105" s="107"/>
      <c r="Z105" s="107"/>
      <c r="AA105" s="107"/>
      <c r="AB105" s="107"/>
      <c r="AC105" s="107"/>
      <c r="AD105" s="107"/>
      <c r="AE105" s="107"/>
      <c r="AF105" s="107"/>
      <c r="AG105" s="101"/>
      <c r="AH105" s="101"/>
      <c r="AI105" s="101"/>
      <c r="AJ105" s="101"/>
      <c r="AK105" s="101"/>
      <c r="AL105" s="101"/>
      <c r="AM105" s="101"/>
      <c r="AN105" s="101"/>
      <c r="AO105" s="101"/>
      <c r="AP105" s="101"/>
      <c r="AQ105" s="101"/>
      <c r="AR105" s="101"/>
      <c r="AS105" s="101"/>
      <c r="AT105" s="101"/>
      <c r="AU105" s="101"/>
      <c r="AV105" s="101"/>
      <c r="AW105" s="101"/>
      <c r="AX105" s="101"/>
      <c r="AY105" s="101"/>
      <c r="AZ105" s="101"/>
      <c r="BA105" s="101"/>
    </row>
    <row r="106" spans="1:53" x14ac:dyDescent="0.25">
      <c r="A106" s="687">
        <v>0.91666666666666696</v>
      </c>
      <c r="B106" s="673" t="s">
        <v>807</v>
      </c>
      <c r="C106" s="673" t="s">
        <v>807</v>
      </c>
      <c r="D106" s="673" t="s">
        <v>807</v>
      </c>
      <c r="E106" s="684"/>
      <c r="F106" s="676"/>
      <c r="G106" s="676"/>
      <c r="H106" s="676"/>
      <c r="I106" s="107"/>
      <c r="J106" s="107"/>
      <c r="K106" s="107"/>
      <c r="L106" s="107"/>
      <c r="M106" s="107"/>
      <c r="N106" s="107"/>
      <c r="O106" s="107"/>
      <c r="P106" s="107"/>
      <c r="Q106" s="107"/>
      <c r="R106" s="107"/>
      <c r="S106" s="107"/>
      <c r="T106" s="107"/>
      <c r="U106" s="107"/>
      <c r="V106" s="107"/>
      <c r="W106" s="107"/>
      <c r="X106" s="107"/>
      <c r="Y106" s="107"/>
      <c r="Z106" s="107"/>
      <c r="AA106" s="107"/>
      <c r="AB106" s="107"/>
      <c r="AC106" s="107"/>
      <c r="AD106" s="107"/>
      <c r="AE106" s="107"/>
      <c r="AF106" s="107"/>
      <c r="AG106" s="101"/>
      <c r="AH106" s="101"/>
      <c r="AI106" s="101"/>
      <c r="AJ106" s="101"/>
      <c r="AK106" s="101"/>
      <c r="AL106" s="101"/>
      <c r="AM106" s="101"/>
      <c r="AN106" s="101"/>
      <c r="AO106" s="101"/>
      <c r="AP106" s="101"/>
      <c r="AQ106" s="101"/>
      <c r="AR106" s="101"/>
      <c r="AS106" s="101"/>
      <c r="AT106" s="101"/>
      <c r="AU106" s="101"/>
      <c r="AV106" s="101"/>
      <c r="AW106" s="101"/>
      <c r="AX106" s="101"/>
      <c r="AY106" s="101"/>
      <c r="AZ106" s="101"/>
      <c r="BA106" s="101"/>
    </row>
    <row r="107" spans="1:53" x14ac:dyDescent="0.25">
      <c r="A107" s="686">
        <v>0.9375</v>
      </c>
      <c r="B107" s="673" t="s">
        <v>807</v>
      </c>
      <c r="C107" s="673" t="s">
        <v>807</v>
      </c>
      <c r="D107" s="673" t="s">
        <v>807</v>
      </c>
      <c r="E107" s="684"/>
      <c r="F107" s="676"/>
      <c r="G107" s="676"/>
      <c r="H107" s="676"/>
      <c r="I107" s="107"/>
      <c r="J107" s="107"/>
      <c r="K107" s="107"/>
      <c r="L107" s="107"/>
      <c r="M107" s="107"/>
      <c r="N107" s="107"/>
      <c r="O107" s="107"/>
      <c r="P107" s="107"/>
      <c r="Q107" s="107"/>
      <c r="R107" s="107"/>
      <c r="S107" s="107"/>
      <c r="T107" s="107"/>
      <c r="U107" s="107"/>
      <c r="V107" s="107"/>
      <c r="W107" s="107"/>
      <c r="X107" s="107"/>
      <c r="Y107" s="107"/>
      <c r="Z107" s="107"/>
      <c r="AA107" s="107"/>
      <c r="AB107" s="107"/>
      <c r="AC107" s="107"/>
      <c r="AD107" s="107"/>
      <c r="AE107" s="107"/>
      <c r="AF107" s="107"/>
      <c r="AG107" s="101"/>
      <c r="AH107" s="101"/>
      <c r="AI107" s="101"/>
      <c r="AJ107" s="101"/>
      <c r="AK107" s="101"/>
      <c r="AL107" s="101"/>
      <c r="AM107" s="101"/>
      <c r="AN107" s="101"/>
      <c r="AO107" s="101"/>
      <c r="AP107" s="101"/>
      <c r="AQ107" s="101"/>
      <c r="AR107" s="101"/>
      <c r="AS107" s="101"/>
      <c r="AT107" s="101"/>
      <c r="AU107" s="101"/>
      <c r="AV107" s="101"/>
      <c r="AW107" s="101"/>
      <c r="AX107" s="101"/>
      <c r="AY107" s="101"/>
      <c r="AZ107" s="101"/>
      <c r="BA107" s="101"/>
    </row>
    <row r="108" spans="1:53" x14ac:dyDescent="0.25">
      <c r="A108" s="687">
        <v>0.95833333333333304</v>
      </c>
      <c r="B108" s="673" t="s">
        <v>807</v>
      </c>
      <c r="C108" s="673" t="s">
        <v>807</v>
      </c>
      <c r="D108" s="673" t="s">
        <v>807</v>
      </c>
      <c r="E108" s="684"/>
      <c r="F108" s="676"/>
      <c r="G108" s="676"/>
      <c r="H108" s="676"/>
      <c r="I108" s="107"/>
      <c r="J108" s="107"/>
      <c r="K108" s="107"/>
      <c r="L108" s="107"/>
      <c r="M108" s="107"/>
      <c r="N108" s="107"/>
      <c r="O108" s="107"/>
      <c r="P108" s="107"/>
      <c r="Q108" s="107"/>
      <c r="R108" s="107"/>
      <c r="S108" s="107"/>
      <c r="T108" s="107"/>
      <c r="U108" s="107"/>
      <c r="V108" s="107"/>
      <c r="W108" s="107"/>
      <c r="X108" s="107"/>
      <c r="Y108" s="107"/>
      <c r="Z108" s="107"/>
      <c r="AA108" s="107"/>
      <c r="AB108" s="107"/>
      <c r="AC108" s="107"/>
      <c r="AD108" s="107"/>
      <c r="AE108" s="107"/>
      <c r="AF108" s="107"/>
      <c r="AG108" s="101"/>
      <c r="AH108" s="101"/>
      <c r="AI108" s="101"/>
      <c r="AJ108" s="101"/>
      <c r="AK108" s="101"/>
      <c r="AL108" s="101"/>
      <c r="AM108" s="101"/>
      <c r="AN108" s="101"/>
      <c r="AO108" s="101"/>
      <c r="AP108" s="101"/>
      <c r="AQ108" s="101"/>
      <c r="AR108" s="101"/>
      <c r="AS108" s="101"/>
      <c r="AT108" s="101"/>
      <c r="AU108" s="101"/>
      <c r="AV108" s="101"/>
      <c r="AW108" s="101"/>
      <c r="AX108" s="101"/>
      <c r="AY108" s="101"/>
      <c r="AZ108" s="101"/>
      <c r="BA108" s="101"/>
    </row>
    <row r="109" spans="1:53" x14ac:dyDescent="0.25">
      <c r="A109" s="688">
        <v>0.97916666666666696</v>
      </c>
      <c r="B109" s="673" t="s">
        <v>807</v>
      </c>
      <c r="C109" s="673" t="s">
        <v>807</v>
      </c>
      <c r="D109" s="673" t="s">
        <v>807</v>
      </c>
      <c r="E109" s="684"/>
      <c r="F109" s="676"/>
      <c r="G109" s="676"/>
      <c r="H109" s="676"/>
      <c r="I109" s="107"/>
      <c r="J109" s="107"/>
      <c r="K109" s="107"/>
      <c r="L109" s="107"/>
      <c r="M109" s="107"/>
      <c r="N109" s="107"/>
      <c r="O109" s="107"/>
      <c r="P109" s="107"/>
      <c r="Q109" s="107"/>
      <c r="R109" s="107"/>
      <c r="S109" s="107"/>
      <c r="T109" s="107"/>
      <c r="U109" s="107"/>
      <c r="V109" s="107"/>
      <c r="W109" s="107"/>
      <c r="X109" s="107"/>
      <c r="Y109" s="107"/>
      <c r="Z109" s="107"/>
      <c r="AA109" s="107"/>
      <c r="AB109" s="107"/>
      <c r="AC109" s="107"/>
      <c r="AD109" s="107"/>
      <c r="AE109" s="107"/>
      <c r="AF109" s="107"/>
      <c r="AG109" s="101"/>
      <c r="AH109" s="101"/>
      <c r="AI109" s="101"/>
      <c r="AJ109" s="101"/>
      <c r="AK109" s="101"/>
      <c r="AL109" s="101"/>
      <c r="AM109" s="101"/>
      <c r="AN109" s="101"/>
      <c r="AO109" s="101"/>
      <c r="AP109" s="101"/>
      <c r="AQ109" s="101"/>
      <c r="AR109" s="101"/>
      <c r="AS109" s="101"/>
      <c r="AT109" s="101"/>
      <c r="AU109" s="101"/>
      <c r="AV109" s="101"/>
      <c r="AW109" s="101"/>
      <c r="AX109" s="101"/>
      <c r="AY109" s="101"/>
      <c r="AZ109" s="101"/>
      <c r="BA109" s="101"/>
    </row>
    <row r="110" spans="1:53" x14ac:dyDescent="0.25">
      <c r="A110" s="37"/>
      <c r="B110" s="682"/>
      <c r="C110" s="107"/>
      <c r="D110" s="107"/>
      <c r="E110" s="107"/>
      <c r="F110" s="107"/>
      <c r="G110" s="107"/>
      <c r="H110" s="107"/>
      <c r="I110" s="107"/>
      <c r="J110" s="107"/>
      <c r="K110" s="107"/>
      <c r="L110" s="107"/>
      <c r="M110" s="107"/>
      <c r="N110" s="107"/>
      <c r="O110" s="107"/>
      <c r="P110" s="107"/>
      <c r="Q110" s="107"/>
      <c r="R110" s="107"/>
      <c r="S110" s="107"/>
      <c r="T110" s="107"/>
      <c r="U110" s="107"/>
      <c r="V110" s="107"/>
      <c r="W110" s="107"/>
      <c r="X110" s="107"/>
      <c r="Y110" s="107"/>
      <c r="Z110" s="107"/>
      <c r="AA110" s="107"/>
      <c r="AB110" s="107"/>
      <c r="AC110" s="107"/>
      <c r="AD110" s="107"/>
      <c r="AE110" s="107"/>
      <c r="AF110" s="107"/>
      <c r="AG110" s="101"/>
      <c r="AH110" s="101"/>
      <c r="AI110" s="101"/>
      <c r="AJ110" s="101"/>
      <c r="AK110" s="101"/>
      <c r="AL110" s="101"/>
      <c r="AM110" s="101"/>
      <c r="AN110" s="101"/>
      <c r="AO110" s="101"/>
      <c r="AP110" s="101"/>
      <c r="AQ110" s="101"/>
      <c r="AR110" s="101"/>
      <c r="AS110" s="101"/>
      <c r="AT110" s="101"/>
      <c r="AU110" s="101"/>
      <c r="AV110" s="101"/>
      <c r="AW110" s="101"/>
      <c r="AX110" s="101"/>
      <c r="AY110" s="101"/>
      <c r="AZ110" s="101"/>
      <c r="BA110" s="101"/>
    </row>
    <row r="111" spans="1:53" x14ac:dyDescent="0.25">
      <c r="A111" s="123" t="s">
        <v>1238</v>
      </c>
      <c r="B111" s="271"/>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row>
    <row r="112" spans="1:53" x14ac:dyDescent="0.25">
      <c r="A112" s="88" t="s">
        <v>1243</v>
      </c>
      <c r="B112" s="272"/>
      <c r="C112" s="84"/>
      <c r="D112" s="84"/>
      <c r="E112" s="84"/>
      <c r="F112" s="84"/>
      <c r="G112" s="84"/>
      <c r="H112" s="37"/>
      <c r="I112" s="37"/>
      <c r="J112" s="37"/>
      <c r="K112" s="37"/>
      <c r="L112" s="37"/>
      <c r="M112" s="37"/>
      <c r="N112" s="37"/>
      <c r="O112" s="37"/>
      <c r="P112" s="37"/>
      <c r="Q112" s="37"/>
      <c r="R112" s="37"/>
      <c r="S112" s="37"/>
      <c r="T112" s="37"/>
      <c r="U112" s="37"/>
      <c r="V112" s="37"/>
      <c r="W112" s="37"/>
      <c r="X112" s="37"/>
      <c r="Y112" s="37"/>
      <c r="Z112" s="37"/>
      <c r="AA112" s="37"/>
      <c r="AB112" s="37"/>
      <c r="AC112" s="37"/>
      <c r="AD112" s="37"/>
      <c r="AE112" s="37"/>
      <c r="AF112" s="37"/>
    </row>
    <row r="113" spans="1:32" x14ac:dyDescent="0.25">
      <c r="A113" s="88" t="s">
        <v>1244</v>
      </c>
      <c r="B113" s="272"/>
      <c r="C113" s="84"/>
      <c r="D113" s="84"/>
      <c r="E113" s="84"/>
      <c r="F113" s="84"/>
      <c r="G113" s="84"/>
      <c r="H113" s="37"/>
      <c r="I113" s="37"/>
      <c r="J113" s="37"/>
      <c r="K113" s="37"/>
      <c r="L113" s="37"/>
      <c r="M113" s="37"/>
      <c r="N113" s="37"/>
      <c r="O113" s="37"/>
      <c r="P113" s="37"/>
      <c r="Q113" s="37"/>
      <c r="R113" s="37"/>
      <c r="S113" s="37"/>
      <c r="T113" s="37"/>
      <c r="U113" s="37"/>
      <c r="V113" s="37"/>
      <c r="W113" s="37"/>
      <c r="X113" s="37"/>
      <c r="Y113" s="37"/>
      <c r="Z113" s="37"/>
      <c r="AA113" s="37"/>
      <c r="AB113" s="37"/>
      <c r="AC113" s="37"/>
      <c r="AD113" s="37"/>
      <c r="AE113" s="37"/>
      <c r="AF113" s="37"/>
    </row>
    <row r="114" spans="1:32" x14ac:dyDescent="0.25">
      <c r="A114" s="88" t="s">
        <v>1245</v>
      </c>
      <c r="B114" s="272"/>
      <c r="C114" s="84"/>
      <c r="D114" s="84"/>
      <c r="E114" s="84"/>
      <c r="F114" s="84"/>
      <c r="G114" s="84"/>
      <c r="H114" s="37"/>
      <c r="I114" s="37"/>
      <c r="J114" s="37"/>
      <c r="K114" s="37"/>
      <c r="L114" s="37"/>
      <c r="M114" s="37"/>
      <c r="N114" s="37"/>
      <c r="O114" s="37"/>
      <c r="P114" s="37"/>
      <c r="Q114" s="37"/>
      <c r="R114" s="37"/>
      <c r="S114" s="37"/>
      <c r="T114" s="37"/>
      <c r="U114" s="37"/>
      <c r="V114" s="37"/>
      <c r="W114" s="37"/>
      <c r="X114" s="37"/>
      <c r="Y114" s="37"/>
      <c r="Z114" s="37"/>
      <c r="AA114" s="37"/>
      <c r="AB114" s="37"/>
      <c r="AC114" s="37"/>
      <c r="AD114" s="37"/>
      <c r="AE114" s="37"/>
      <c r="AF114" s="37"/>
    </row>
    <row r="115" spans="1:32" x14ac:dyDescent="0.25">
      <c r="A115" s="88" t="s">
        <v>1246</v>
      </c>
      <c r="B115" s="272"/>
      <c r="C115" s="84"/>
      <c r="D115" s="84"/>
      <c r="E115" s="84"/>
      <c r="F115" s="84"/>
      <c r="G115" s="84"/>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row>
    <row r="116" spans="1:32" x14ac:dyDescent="0.25">
      <c r="A116" s="88" t="s">
        <v>1247</v>
      </c>
      <c r="B116" s="272"/>
      <c r="C116" s="84"/>
      <c r="D116" s="84"/>
      <c r="E116" s="84"/>
      <c r="F116" s="84"/>
      <c r="G116" s="84"/>
      <c r="H116" s="37"/>
      <c r="I116" s="37"/>
      <c r="J116" s="37"/>
      <c r="K116" s="37"/>
      <c r="L116" s="37"/>
      <c r="M116" s="37"/>
      <c r="N116" s="37"/>
      <c r="O116" s="37"/>
      <c r="P116" s="37"/>
      <c r="Q116" s="37"/>
      <c r="R116" s="37"/>
      <c r="S116" s="37"/>
      <c r="T116" s="37"/>
      <c r="U116" s="37"/>
      <c r="V116" s="37"/>
      <c r="W116" s="37"/>
      <c r="X116" s="37"/>
      <c r="Y116" s="37"/>
      <c r="Z116" s="37"/>
      <c r="AA116" s="37"/>
      <c r="AB116" s="37"/>
      <c r="AC116" s="37"/>
      <c r="AD116" s="37"/>
      <c r="AE116" s="37"/>
      <c r="AF116" s="37"/>
    </row>
    <row r="117" spans="1:32" x14ac:dyDescent="0.25">
      <c r="A117" s="37"/>
      <c r="B117" s="271"/>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row>
    <row r="118" spans="1:32" x14ac:dyDescent="0.25">
      <c r="A118" s="95"/>
      <c r="B118" s="271"/>
      <c r="C118" s="95"/>
      <c r="D118" s="95"/>
      <c r="E118" s="95"/>
      <c r="F118" s="95"/>
      <c r="G118" s="95"/>
      <c r="H118" s="37"/>
      <c r="I118" s="37"/>
      <c r="J118" s="37"/>
      <c r="K118" s="37"/>
      <c r="L118" s="37"/>
      <c r="M118" s="37"/>
      <c r="N118" s="37"/>
      <c r="O118" s="37"/>
      <c r="P118" s="37"/>
      <c r="Q118" s="37"/>
      <c r="R118" s="37"/>
      <c r="S118" s="37"/>
      <c r="T118" s="37"/>
      <c r="U118" s="37"/>
      <c r="V118" s="37"/>
      <c r="W118" s="37"/>
      <c r="X118" s="37"/>
      <c r="Y118" s="37"/>
      <c r="Z118" s="37"/>
      <c r="AA118" s="37"/>
      <c r="AB118" s="37"/>
      <c r="AC118" s="37"/>
      <c r="AD118" s="37"/>
      <c r="AE118" s="37"/>
      <c r="AF118" s="37"/>
    </row>
    <row r="119" spans="1:32" x14ac:dyDescent="0.25">
      <c r="A119" s="95"/>
      <c r="B119" s="271"/>
      <c r="C119" s="95"/>
      <c r="D119" s="95"/>
      <c r="E119" s="95"/>
      <c r="F119" s="95"/>
      <c r="G119" s="95"/>
      <c r="H119" s="37"/>
      <c r="I119" s="37"/>
      <c r="J119" s="37"/>
      <c r="K119" s="37"/>
      <c r="L119" s="37"/>
      <c r="M119" s="37"/>
      <c r="N119" s="37"/>
      <c r="O119" s="37"/>
      <c r="P119" s="37"/>
      <c r="Q119" s="37"/>
      <c r="R119" s="37"/>
      <c r="S119" s="37"/>
      <c r="T119" s="37"/>
      <c r="U119" s="37"/>
      <c r="V119" s="37"/>
      <c r="W119" s="37"/>
      <c r="X119" s="37"/>
      <c r="Y119" s="37"/>
      <c r="Z119" s="37"/>
      <c r="AA119" s="37"/>
      <c r="AB119" s="37"/>
      <c r="AC119" s="37"/>
      <c r="AD119" s="37"/>
      <c r="AE119" s="37"/>
      <c r="AF119" s="37"/>
    </row>
    <row r="120" spans="1:32" x14ac:dyDescent="0.25">
      <c r="A120" s="95"/>
      <c r="B120" s="271"/>
      <c r="C120" s="95"/>
      <c r="D120" s="95"/>
      <c r="E120" s="95"/>
      <c r="F120" s="95"/>
      <c r="G120" s="95"/>
      <c r="H120" s="37"/>
      <c r="I120" s="37"/>
      <c r="J120" s="37"/>
      <c r="K120" s="37"/>
      <c r="L120" s="37"/>
      <c r="M120" s="37"/>
      <c r="N120" s="37"/>
      <c r="O120" s="37"/>
      <c r="P120" s="37"/>
      <c r="Q120" s="37"/>
      <c r="R120" s="37"/>
      <c r="S120" s="37"/>
      <c r="T120" s="37"/>
      <c r="U120" s="37"/>
      <c r="V120" s="37"/>
      <c r="W120" s="37"/>
      <c r="X120" s="37"/>
      <c r="Y120" s="37"/>
      <c r="Z120" s="37"/>
      <c r="AA120" s="37"/>
      <c r="AB120" s="37"/>
      <c r="AC120" s="37"/>
      <c r="AD120" s="37"/>
      <c r="AE120" s="37"/>
      <c r="AF120" s="37"/>
    </row>
    <row r="121" spans="1:32" x14ac:dyDescent="0.25">
      <c r="A121" s="95"/>
      <c r="B121" s="271"/>
      <c r="C121" s="95"/>
      <c r="D121" s="95"/>
      <c r="E121" s="95"/>
      <c r="F121" s="95"/>
      <c r="G121" s="95"/>
      <c r="H121" s="37"/>
      <c r="I121" s="37"/>
      <c r="J121" s="37"/>
      <c r="K121" s="37"/>
      <c r="L121" s="37"/>
      <c r="M121" s="37"/>
      <c r="N121" s="37"/>
      <c r="O121" s="37"/>
      <c r="P121" s="37"/>
      <c r="Q121" s="37"/>
      <c r="R121" s="37"/>
      <c r="S121" s="37"/>
      <c r="T121" s="37"/>
      <c r="U121" s="37"/>
      <c r="V121" s="37"/>
      <c r="W121" s="37"/>
      <c r="X121" s="37"/>
      <c r="Y121" s="37"/>
      <c r="Z121" s="37"/>
      <c r="AA121" s="37"/>
      <c r="AB121" s="37"/>
      <c r="AC121" s="37"/>
      <c r="AD121" s="37"/>
      <c r="AE121" s="37"/>
      <c r="AF121" s="37"/>
    </row>
    <row r="122" spans="1:32" x14ac:dyDescent="0.25">
      <c r="A122" s="95"/>
      <c r="B122" s="271"/>
      <c r="C122" s="95"/>
      <c r="D122" s="95"/>
      <c r="E122" s="95"/>
      <c r="F122" s="95"/>
      <c r="G122" s="95"/>
      <c r="H122" s="37"/>
      <c r="I122" s="37"/>
      <c r="J122" s="37"/>
      <c r="K122" s="37"/>
      <c r="L122" s="37"/>
      <c r="M122" s="37"/>
      <c r="N122" s="37"/>
      <c r="O122" s="37"/>
      <c r="P122" s="37"/>
      <c r="Q122" s="37"/>
      <c r="R122" s="37"/>
      <c r="S122" s="37"/>
      <c r="T122" s="37"/>
      <c r="U122" s="37"/>
      <c r="V122" s="37"/>
      <c r="W122" s="37"/>
      <c r="X122" s="37"/>
      <c r="Y122" s="37"/>
      <c r="Z122" s="37"/>
      <c r="AA122" s="37"/>
      <c r="AB122" s="37"/>
      <c r="AC122" s="37"/>
      <c r="AD122" s="37"/>
      <c r="AE122" s="37"/>
      <c r="AF122" s="37"/>
    </row>
    <row r="123" spans="1:32" x14ac:dyDescent="0.25">
      <c r="A123" s="95"/>
      <c r="B123" s="271"/>
      <c r="C123" s="95"/>
      <c r="D123" s="95"/>
      <c r="E123" s="95"/>
      <c r="F123" s="95"/>
      <c r="G123" s="95"/>
      <c r="H123" s="37"/>
      <c r="I123" s="37"/>
      <c r="J123" s="37"/>
      <c r="K123" s="37"/>
      <c r="L123" s="37"/>
      <c r="M123" s="37"/>
      <c r="N123" s="37"/>
      <c r="O123" s="37"/>
      <c r="P123" s="37"/>
      <c r="Q123" s="37"/>
      <c r="R123" s="37"/>
      <c r="S123" s="37"/>
      <c r="T123" s="37"/>
      <c r="U123" s="37"/>
      <c r="V123" s="37"/>
      <c r="W123" s="37"/>
      <c r="X123" s="37"/>
      <c r="Y123" s="37"/>
      <c r="Z123" s="37"/>
      <c r="AA123" s="37"/>
      <c r="AB123" s="37"/>
      <c r="AC123" s="37"/>
      <c r="AD123" s="37"/>
      <c r="AE123" s="37"/>
      <c r="AF123" s="37"/>
    </row>
    <row r="124" spans="1:32" x14ac:dyDescent="0.25">
      <c r="A124" s="95"/>
      <c r="B124" s="271"/>
      <c r="C124" s="95"/>
      <c r="D124" s="95"/>
      <c r="E124" s="95"/>
      <c r="F124" s="95"/>
      <c r="G124" s="95"/>
      <c r="H124" s="37"/>
      <c r="I124" s="37"/>
      <c r="J124" s="37"/>
      <c r="K124" s="37"/>
      <c r="L124" s="37"/>
      <c r="M124" s="37"/>
      <c r="N124" s="37"/>
      <c r="O124" s="37"/>
      <c r="P124" s="37"/>
      <c r="Q124" s="37"/>
      <c r="R124" s="37"/>
      <c r="S124" s="37"/>
      <c r="T124" s="37"/>
      <c r="U124" s="37"/>
      <c r="V124" s="37"/>
      <c r="W124" s="37"/>
      <c r="X124" s="37"/>
      <c r="Y124" s="37"/>
      <c r="Z124" s="37"/>
      <c r="AA124" s="37"/>
      <c r="AB124" s="37"/>
      <c r="AC124" s="37"/>
      <c r="AD124" s="37"/>
      <c r="AE124" s="37"/>
      <c r="AF124" s="37"/>
    </row>
    <row r="125" spans="1:32" x14ac:dyDescent="0.25">
      <c r="A125" s="37"/>
      <c r="B125" s="271"/>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row>
    <row r="126" spans="1:32" x14ac:dyDescent="0.25">
      <c r="A126" s="37"/>
      <c r="B126" s="271"/>
      <c r="C126" s="37"/>
      <c r="D126" s="37"/>
      <c r="E126" s="37"/>
      <c r="F126" s="37"/>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row>
    <row r="127" spans="1:32" x14ac:dyDescent="0.25">
      <c r="A127" s="37"/>
      <c r="B127" s="271"/>
      <c r="C127" s="37"/>
      <c r="D127" s="37"/>
      <c r="E127" s="37"/>
      <c r="F127" s="37"/>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row>
    <row r="128" spans="1:32" x14ac:dyDescent="0.25">
      <c r="A128" s="128" t="s">
        <v>795</v>
      </c>
      <c r="B128" s="40" t="s">
        <v>798</v>
      </c>
      <c r="C128" s="40" t="s">
        <v>799</v>
      </c>
      <c r="D128" s="40" t="s">
        <v>800</v>
      </c>
      <c r="E128" s="40" t="s">
        <v>801</v>
      </c>
      <c r="F128" s="40" t="s">
        <v>802</v>
      </c>
      <c r="G128" s="40" t="s">
        <v>803</v>
      </c>
      <c r="H128" s="40" t="s">
        <v>804</v>
      </c>
      <c r="I128" s="40" t="s">
        <v>805</v>
      </c>
      <c r="J128" s="129" t="s">
        <v>806</v>
      </c>
      <c r="K128" s="37"/>
      <c r="L128" s="37"/>
      <c r="M128" s="37"/>
      <c r="N128" s="37"/>
      <c r="O128" s="37"/>
      <c r="P128" s="37"/>
      <c r="Q128" s="37"/>
      <c r="R128" s="37"/>
      <c r="S128" s="37"/>
      <c r="T128" s="37"/>
      <c r="U128" s="37"/>
      <c r="V128" s="37"/>
      <c r="W128" s="37"/>
      <c r="X128" s="37"/>
      <c r="Y128" s="37"/>
      <c r="Z128" s="37"/>
      <c r="AA128" s="37"/>
      <c r="AB128" s="37"/>
      <c r="AC128" s="37"/>
      <c r="AD128" s="37"/>
      <c r="AE128" s="37"/>
      <c r="AF128" s="37"/>
    </row>
    <row r="129" spans="1:32" x14ac:dyDescent="0.25">
      <c r="A129" s="134">
        <v>0</v>
      </c>
      <c r="B129" s="274">
        <v>0.17280000000000001</v>
      </c>
      <c r="C129" s="274">
        <v>0.21840000000000001</v>
      </c>
      <c r="D129" s="274">
        <v>0</v>
      </c>
      <c r="E129" s="274">
        <v>0</v>
      </c>
      <c r="F129" s="274">
        <v>0</v>
      </c>
      <c r="G129" s="274">
        <v>0</v>
      </c>
      <c r="H129" s="274">
        <v>0</v>
      </c>
      <c r="I129" s="274">
        <v>0.3024</v>
      </c>
      <c r="J129" s="275">
        <v>2536</v>
      </c>
      <c r="K129" s="37"/>
      <c r="L129" s="37"/>
      <c r="M129" s="37"/>
      <c r="N129" s="37"/>
      <c r="O129" s="37"/>
      <c r="P129" s="37"/>
      <c r="Q129" s="37"/>
      <c r="R129" s="37"/>
      <c r="S129" s="37"/>
      <c r="T129" s="37"/>
      <c r="U129" s="37"/>
      <c r="V129" s="37"/>
      <c r="W129" s="37"/>
      <c r="X129" s="37"/>
      <c r="Y129" s="37"/>
      <c r="Z129" s="37"/>
      <c r="AA129" s="37"/>
      <c r="AB129" s="37"/>
      <c r="AC129" s="37"/>
      <c r="AD129" s="37"/>
      <c r="AE129" s="37"/>
      <c r="AF129" s="37"/>
    </row>
    <row r="130" spans="1:32" x14ac:dyDescent="0.25">
      <c r="A130" s="135">
        <v>2.0833333333333332E-2</v>
      </c>
      <c r="B130" s="274">
        <v>0.17280000000000001</v>
      </c>
      <c r="C130" s="274">
        <v>0.21840000000000001</v>
      </c>
      <c r="D130" s="274">
        <v>0</v>
      </c>
      <c r="E130" s="274">
        <v>0</v>
      </c>
      <c r="F130" s="274">
        <v>0</v>
      </c>
      <c r="G130" s="274">
        <v>0</v>
      </c>
      <c r="H130" s="274">
        <v>0</v>
      </c>
      <c r="I130" s="274">
        <v>0.3024</v>
      </c>
      <c r="J130" s="275">
        <v>2536</v>
      </c>
      <c r="K130" s="37"/>
      <c r="L130" s="37"/>
      <c r="M130" s="37"/>
      <c r="N130" s="37"/>
      <c r="O130" s="37"/>
      <c r="P130" s="37"/>
      <c r="Q130" s="37"/>
      <c r="R130" s="37"/>
      <c r="S130" s="37"/>
      <c r="T130" s="37"/>
      <c r="U130" s="37"/>
      <c r="V130" s="37"/>
      <c r="W130" s="37"/>
      <c r="X130" s="37"/>
      <c r="Y130" s="37"/>
      <c r="Z130" s="37"/>
      <c r="AA130" s="37"/>
      <c r="AB130" s="37"/>
      <c r="AC130" s="37"/>
      <c r="AD130" s="37"/>
      <c r="AE130" s="37"/>
      <c r="AF130" s="37"/>
    </row>
    <row r="131" spans="1:32" x14ac:dyDescent="0.25">
      <c r="A131" s="134">
        <v>4.1666666666666699E-2</v>
      </c>
      <c r="B131" s="274">
        <v>0.17280000000000001</v>
      </c>
      <c r="C131" s="274">
        <v>0.21840000000000001</v>
      </c>
      <c r="D131" s="274">
        <v>0</v>
      </c>
      <c r="E131" s="274">
        <v>0</v>
      </c>
      <c r="F131" s="274">
        <v>0</v>
      </c>
      <c r="G131" s="274">
        <v>0</v>
      </c>
      <c r="H131" s="274">
        <v>0</v>
      </c>
      <c r="I131" s="274">
        <v>0.3024</v>
      </c>
      <c r="J131" s="275">
        <v>2536</v>
      </c>
      <c r="K131" s="37"/>
      <c r="L131" s="37"/>
      <c r="M131" s="37"/>
      <c r="N131" s="37"/>
      <c r="O131" s="37"/>
      <c r="P131" s="37"/>
      <c r="Q131" s="37"/>
      <c r="R131" s="37"/>
      <c r="S131" s="37"/>
      <c r="T131" s="37"/>
      <c r="U131" s="37"/>
      <c r="V131" s="37"/>
      <c r="W131" s="37"/>
      <c r="X131" s="37"/>
      <c r="Y131" s="37"/>
      <c r="Z131" s="37"/>
      <c r="AA131" s="37"/>
      <c r="AB131" s="37"/>
      <c r="AC131" s="37"/>
      <c r="AD131" s="37"/>
      <c r="AE131" s="37"/>
      <c r="AF131" s="37"/>
    </row>
    <row r="132" spans="1:32" x14ac:dyDescent="0.25">
      <c r="A132" s="135">
        <v>6.25E-2</v>
      </c>
      <c r="B132" s="274">
        <v>0.17280000000000001</v>
      </c>
      <c r="C132" s="274">
        <v>0.21840000000000001</v>
      </c>
      <c r="D132" s="274">
        <v>0</v>
      </c>
      <c r="E132" s="274">
        <v>0</v>
      </c>
      <c r="F132" s="274">
        <v>0</v>
      </c>
      <c r="G132" s="274">
        <v>0</v>
      </c>
      <c r="H132" s="274">
        <v>0</v>
      </c>
      <c r="I132" s="274">
        <v>0.3024</v>
      </c>
      <c r="J132" s="275">
        <v>2536</v>
      </c>
      <c r="K132" s="37"/>
      <c r="L132" s="37"/>
      <c r="M132" s="37"/>
      <c r="N132" s="37"/>
      <c r="O132" s="37"/>
      <c r="P132" s="37"/>
      <c r="Q132" s="37"/>
      <c r="R132" s="37"/>
      <c r="S132" s="37"/>
      <c r="T132" s="37"/>
      <c r="U132" s="37"/>
      <c r="V132" s="37"/>
      <c r="W132" s="37"/>
      <c r="X132" s="37"/>
      <c r="Y132" s="37"/>
      <c r="Z132" s="37"/>
      <c r="AA132" s="37"/>
      <c r="AB132" s="37"/>
      <c r="AC132" s="37"/>
      <c r="AD132" s="37"/>
      <c r="AE132" s="37"/>
      <c r="AF132" s="37"/>
    </row>
    <row r="133" spans="1:32" x14ac:dyDescent="0.25">
      <c r="A133" s="134">
        <v>8.3333333333333301E-2</v>
      </c>
      <c r="B133" s="274">
        <v>0.17280000000000001</v>
      </c>
      <c r="C133" s="274">
        <v>0.21840000000000001</v>
      </c>
      <c r="D133" s="274">
        <v>0</v>
      </c>
      <c r="E133" s="274">
        <v>0</v>
      </c>
      <c r="F133" s="274">
        <v>0</v>
      </c>
      <c r="G133" s="274">
        <v>0</v>
      </c>
      <c r="H133" s="274">
        <v>0</v>
      </c>
      <c r="I133" s="274">
        <v>0.3024</v>
      </c>
      <c r="J133" s="275">
        <v>2536</v>
      </c>
      <c r="K133" s="37"/>
      <c r="L133" s="37"/>
      <c r="M133" s="37"/>
      <c r="N133" s="37"/>
      <c r="O133" s="37"/>
      <c r="P133" s="37"/>
      <c r="Q133" s="37"/>
      <c r="R133" s="37"/>
      <c r="S133" s="37"/>
      <c r="T133" s="37"/>
      <c r="U133" s="37"/>
      <c r="V133" s="37"/>
      <c r="W133" s="37"/>
      <c r="X133" s="37"/>
      <c r="Y133" s="37"/>
      <c r="Z133" s="37"/>
      <c r="AA133" s="37"/>
      <c r="AB133" s="37"/>
      <c r="AC133" s="37"/>
      <c r="AD133" s="37"/>
      <c r="AE133" s="37"/>
      <c r="AF133" s="37"/>
    </row>
    <row r="134" spans="1:32" x14ac:dyDescent="0.25">
      <c r="A134" s="135">
        <v>0.104166666666667</v>
      </c>
      <c r="B134" s="274">
        <v>0.17280000000000001</v>
      </c>
      <c r="C134" s="274">
        <v>0.21840000000000001</v>
      </c>
      <c r="D134" s="274">
        <v>0</v>
      </c>
      <c r="E134" s="274">
        <v>0</v>
      </c>
      <c r="F134" s="274">
        <v>0</v>
      </c>
      <c r="G134" s="274">
        <v>0</v>
      </c>
      <c r="H134" s="274">
        <v>0</v>
      </c>
      <c r="I134" s="274">
        <v>0.3024</v>
      </c>
      <c r="J134" s="275">
        <v>2536</v>
      </c>
      <c r="K134" s="37"/>
      <c r="L134" s="37"/>
      <c r="M134" s="37"/>
      <c r="N134" s="37"/>
      <c r="O134" s="37"/>
      <c r="P134" s="37"/>
      <c r="Q134" s="37"/>
      <c r="R134" s="37"/>
      <c r="S134" s="37"/>
      <c r="T134" s="37"/>
      <c r="U134" s="37"/>
      <c r="V134" s="37"/>
      <c r="W134" s="37"/>
      <c r="X134" s="37"/>
      <c r="Y134" s="37"/>
      <c r="Z134" s="37"/>
      <c r="AA134" s="37"/>
      <c r="AB134" s="37"/>
      <c r="AC134" s="37"/>
      <c r="AD134" s="37"/>
      <c r="AE134" s="37"/>
      <c r="AF134" s="37"/>
    </row>
    <row r="135" spans="1:32" x14ac:dyDescent="0.25">
      <c r="A135" s="134">
        <v>0.125</v>
      </c>
      <c r="B135" s="274">
        <v>0.17280000000000001</v>
      </c>
      <c r="C135" s="274">
        <v>0.21840000000000001</v>
      </c>
      <c r="D135" s="274">
        <v>0</v>
      </c>
      <c r="E135" s="274">
        <v>0</v>
      </c>
      <c r="F135" s="274">
        <v>0</v>
      </c>
      <c r="G135" s="274">
        <v>0</v>
      </c>
      <c r="H135" s="274">
        <v>0</v>
      </c>
      <c r="I135" s="274">
        <v>0.3024</v>
      </c>
      <c r="J135" s="275">
        <v>2536</v>
      </c>
      <c r="K135" s="37"/>
      <c r="L135" s="37"/>
      <c r="M135" s="37"/>
      <c r="N135" s="37"/>
      <c r="O135" s="37"/>
      <c r="P135" s="37"/>
      <c r="Q135" s="37"/>
      <c r="R135" s="37"/>
      <c r="S135" s="37"/>
      <c r="T135" s="37"/>
      <c r="U135" s="37"/>
      <c r="V135" s="37"/>
      <c r="W135" s="37"/>
      <c r="X135" s="37"/>
      <c r="Y135" s="37"/>
      <c r="Z135" s="37"/>
      <c r="AA135" s="37"/>
      <c r="AB135" s="37"/>
      <c r="AC135" s="37"/>
      <c r="AD135" s="37"/>
      <c r="AE135" s="37"/>
      <c r="AF135" s="37"/>
    </row>
    <row r="136" spans="1:32" x14ac:dyDescent="0.25">
      <c r="A136" s="135">
        <v>0.14583333333333301</v>
      </c>
      <c r="B136" s="274">
        <v>0.17280000000000001</v>
      </c>
      <c r="C136" s="274">
        <v>0.21840000000000001</v>
      </c>
      <c r="D136" s="274">
        <v>0</v>
      </c>
      <c r="E136" s="274">
        <v>0</v>
      </c>
      <c r="F136" s="274">
        <v>0</v>
      </c>
      <c r="G136" s="274">
        <v>0</v>
      </c>
      <c r="H136" s="274">
        <v>0</v>
      </c>
      <c r="I136" s="274">
        <v>0.3024</v>
      </c>
      <c r="J136" s="275">
        <v>2536</v>
      </c>
      <c r="K136" s="37"/>
      <c r="L136" s="37"/>
      <c r="M136" s="37"/>
      <c r="N136" s="37"/>
      <c r="O136" s="37"/>
      <c r="P136" s="37"/>
      <c r="Q136" s="37"/>
      <c r="R136" s="37"/>
      <c r="S136" s="37"/>
      <c r="T136" s="37"/>
      <c r="U136" s="37"/>
      <c r="V136" s="37"/>
      <c r="W136" s="37"/>
      <c r="X136" s="37"/>
      <c r="Y136" s="37"/>
      <c r="Z136" s="37"/>
      <c r="AA136" s="37"/>
      <c r="AB136" s="37"/>
      <c r="AC136" s="37"/>
      <c r="AD136" s="37"/>
      <c r="AE136" s="37"/>
      <c r="AF136" s="37"/>
    </row>
    <row r="137" spans="1:32" x14ac:dyDescent="0.25">
      <c r="A137" s="134">
        <v>0.16666666666666699</v>
      </c>
      <c r="B137" s="274">
        <v>0.17280000000000001</v>
      </c>
      <c r="C137" s="274">
        <v>0.21840000000000001</v>
      </c>
      <c r="D137" s="274">
        <v>0</v>
      </c>
      <c r="E137" s="274">
        <v>0</v>
      </c>
      <c r="F137" s="274">
        <v>0</v>
      </c>
      <c r="G137" s="274">
        <v>0</v>
      </c>
      <c r="H137" s="274">
        <v>0</v>
      </c>
      <c r="I137" s="274">
        <v>0.3024</v>
      </c>
      <c r="J137" s="275">
        <v>2536</v>
      </c>
      <c r="K137" s="37"/>
      <c r="L137" s="37"/>
      <c r="M137" s="37"/>
      <c r="N137" s="37"/>
      <c r="O137" s="37"/>
      <c r="P137" s="37"/>
      <c r="Q137" s="37"/>
      <c r="R137" s="37"/>
      <c r="S137" s="37"/>
      <c r="T137" s="37"/>
      <c r="U137" s="37"/>
      <c r="V137" s="37"/>
      <c r="W137" s="37"/>
      <c r="X137" s="37"/>
      <c r="Y137" s="37"/>
      <c r="Z137" s="37"/>
      <c r="AA137" s="37"/>
      <c r="AB137" s="37"/>
      <c r="AC137" s="37"/>
      <c r="AD137" s="37"/>
      <c r="AE137" s="37"/>
      <c r="AF137" s="37"/>
    </row>
    <row r="138" spans="1:32" x14ac:dyDescent="0.25">
      <c r="A138" s="135">
        <v>0.1875</v>
      </c>
      <c r="B138" s="274">
        <v>0.17280000000000001</v>
      </c>
      <c r="C138" s="274">
        <v>0.21840000000000001</v>
      </c>
      <c r="D138" s="274">
        <v>0</v>
      </c>
      <c r="E138" s="274">
        <v>0</v>
      </c>
      <c r="F138" s="274">
        <v>0</v>
      </c>
      <c r="G138" s="274">
        <v>0</v>
      </c>
      <c r="H138" s="274">
        <v>0</v>
      </c>
      <c r="I138" s="274">
        <v>0.3024</v>
      </c>
      <c r="J138" s="275">
        <v>2536</v>
      </c>
      <c r="K138" s="37"/>
      <c r="L138" s="37"/>
      <c r="M138" s="37"/>
      <c r="N138" s="37"/>
      <c r="O138" s="37"/>
      <c r="P138" s="37"/>
      <c r="Q138" s="37"/>
      <c r="R138" s="37"/>
      <c r="S138" s="37"/>
      <c r="T138" s="37"/>
      <c r="U138" s="37"/>
      <c r="V138" s="37"/>
      <c r="W138" s="37"/>
      <c r="X138" s="37"/>
      <c r="Y138" s="37"/>
      <c r="Z138" s="37"/>
      <c r="AA138" s="37"/>
      <c r="AB138" s="37"/>
      <c r="AC138" s="37"/>
      <c r="AD138" s="37"/>
      <c r="AE138" s="37"/>
      <c r="AF138" s="37"/>
    </row>
    <row r="139" spans="1:32" x14ac:dyDescent="0.25">
      <c r="A139" s="134">
        <v>0.20833333333333301</v>
      </c>
      <c r="B139" s="274">
        <v>0.17280000000000001</v>
      </c>
      <c r="C139" s="274">
        <v>0.21840000000000001</v>
      </c>
      <c r="D139" s="274">
        <v>0</v>
      </c>
      <c r="E139" s="274">
        <v>0</v>
      </c>
      <c r="F139" s="274">
        <v>0</v>
      </c>
      <c r="G139" s="274">
        <v>0</v>
      </c>
      <c r="H139" s="274">
        <v>0</v>
      </c>
      <c r="I139" s="274">
        <v>0.3024</v>
      </c>
      <c r="J139" s="275">
        <v>2536</v>
      </c>
      <c r="K139" s="37"/>
      <c r="L139" s="37"/>
      <c r="M139" s="37"/>
      <c r="N139" s="37"/>
      <c r="O139" s="37"/>
      <c r="P139" s="37"/>
      <c r="Q139" s="37"/>
      <c r="R139" s="37"/>
      <c r="S139" s="37"/>
      <c r="T139" s="37"/>
      <c r="U139" s="37"/>
      <c r="V139" s="37"/>
      <c r="W139" s="37"/>
      <c r="X139" s="37"/>
      <c r="Y139" s="37"/>
      <c r="Z139" s="37"/>
      <c r="AA139" s="37"/>
      <c r="AB139" s="37"/>
      <c r="AC139" s="37"/>
      <c r="AD139" s="37"/>
      <c r="AE139" s="37"/>
      <c r="AF139" s="37"/>
    </row>
    <row r="140" spans="1:32" x14ac:dyDescent="0.25">
      <c r="A140" s="135">
        <v>0.22916666666666699</v>
      </c>
      <c r="B140" s="274">
        <v>0.17280000000000001</v>
      </c>
      <c r="C140" s="274">
        <v>0.21840000000000001</v>
      </c>
      <c r="D140" s="274">
        <v>0</v>
      </c>
      <c r="E140" s="274">
        <v>0</v>
      </c>
      <c r="F140" s="274">
        <v>0</v>
      </c>
      <c r="G140" s="274">
        <v>0</v>
      </c>
      <c r="H140" s="274">
        <v>0</v>
      </c>
      <c r="I140" s="274">
        <v>0.3024</v>
      </c>
      <c r="J140" s="275">
        <v>2536</v>
      </c>
      <c r="K140" s="37"/>
      <c r="L140" s="37"/>
      <c r="M140" s="37"/>
      <c r="N140" s="37"/>
      <c r="O140" s="37"/>
      <c r="P140" s="37"/>
      <c r="Q140" s="37"/>
      <c r="R140" s="37"/>
      <c r="S140" s="37"/>
      <c r="T140" s="37"/>
      <c r="U140" s="37"/>
      <c r="V140" s="37"/>
      <c r="W140" s="37"/>
      <c r="X140" s="37"/>
      <c r="Y140" s="37"/>
      <c r="Z140" s="37"/>
      <c r="AA140" s="37"/>
      <c r="AB140" s="37"/>
      <c r="AC140" s="37"/>
      <c r="AD140" s="37"/>
      <c r="AE140" s="37"/>
      <c r="AF140" s="37"/>
    </row>
    <row r="141" spans="1:32" x14ac:dyDescent="0.25">
      <c r="A141" s="134">
        <v>0.25</v>
      </c>
      <c r="B141" s="274">
        <v>0.27263999999999994</v>
      </c>
      <c r="C141" s="274">
        <v>0.34560000000000002</v>
      </c>
      <c r="D141" s="274">
        <v>8.5333333333333332</v>
      </c>
      <c r="E141" s="274">
        <v>1.1639759999999999</v>
      </c>
      <c r="F141" s="274">
        <v>0</v>
      </c>
      <c r="G141" s="274">
        <v>0</v>
      </c>
      <c r="H141" s="274">
        <v>0</v>
      </c>
      <c r="I141" s="274">
        <v>0.56495999999999991</v>
      </c>
      <c r="J141" s="275">
        <v>4000</v>
      </c>
      <c r="K141" s="37"/>
      <c r="L141" s="37"/>
      <c r="M141" s="37"/>
      <c r="N141" s="37"/>
      <c r="O141" s="37"/>
      <c r="P141" s="37"/>
      <c r="Q141" s="37"/>
      <c r="R141" s="37"/>
      <c r="S141" s="37"/>
      <c r="T141" s="37"/>
      <c r="U141" s="37"/>
      <c r="V141" s="37"/>
      <c r="W141" s="37"/>
      <c r="X141" s="37"/>
      <c r="Y141" s="37"/>
      <c r="Z141" s="37"/>
      <c r="AA141" s="37"/>
      <c r="AB141" s="37"/>
      <c r="AC141" s="37"/>
      <c r="AD141" s="37"/>
      <c r="AE141" s="37"/>
      <c r="AF141" s="37"/>
    </row>
    <row r="142" spans="1:32" x14ac:dyDescent="0.25">
      <c r="A142" s="135">
        <v>0.27083333333333298</v>
      </c>
      <c r="B142" s="274">
        <v>0.27263999999999994</v>
      </c>
      <c r="C142" s="274">
        <v>0.34560000000000002</v>
      </c>
      <c r="D142" s="274">
        <v>8.5333333333333332</v>
      </c>
      <c r="E142" s="274">
        <v>1.1639759999999999</v>
      </c>
      <c r="F142" s="274">
        <v>0</v>
      </c>
      <c r="G142" s="274">
        <v>6.4</v>
      </c>
      <c r="H142" s="274">
        <v>0</v>
      </c>
      <c r="I142" s="274">
        <v>0.56495999999999991</v>
      </c>
      <c r="J142" s="275">
        <v>4000</v>
      </c>
      <c r="K142" s="37"/>
      <c r="L142" s="37"/>
      <c r="M142" s="37"/>
      <c r="N142" s="37"/>
      <c r="O142" s="37"/>
      <c r="P142" s="37"/>
      <c r="Q142" s="37"/>
      <c r="R142" s="37"/>
      <c r="S142" s="37"/>
      <c r="T142" s="37"/>
      <c r="U142" s="37"/>
      <c r="V142" s="37"/>
      <c r="W142" s="37"/>
      <c r="X142" s="37"/>
      <c r="Y142" s="37"/>
      <c r="Z142" s="37"/>
      <c r="AA142" s="37"/>
      <c r="AB142" s="37"/>
      <c r="AC142" s="37"/>
      <c r="AD142" s="37"/>
      <c r="AE142" s="37"/>
      <c r="AF142" s="37"/>
    </row>
    <row r="143" spans="1:32" x14ac:dyDescent="0.25">
      <c r="A143" s="134">
        <v>0.29166666666666702</v>
      </c>
      <c r="B143" s="274">
        <v>0.27263999999999994</v>
      </c>
      <c r="C143" s="274">
        <v>0.34560000000000002</v>
      </c>
      <c r="D143" s="274">
        <v>0</v>
      </c>
      <c r="E143" s="274">
        <v>0</v>
      </c>
      <c r="F143" s="274">
        <v>11.132373333333332</v>
      </c>
      <c r="G143" s="274">
        <v>0</v>
      </c>
      <c r="H143" s="274">
        <v>8.8767866666666659</v>
      </c>
      <c r="I143" s="274">
        <v>0.56495999999999991</v>
      </c>
      <c r="J143" s="275">
        <v>4000</v>
      </c>
      <c r="K143" s="37"/>
      <c r="L143" s="37"/>
      <c r="M143" s="37"/>
      <c r="N143" s="37"/>
      <c r="O143" s="37"/>
      <c r="P143" s="37"/>
      <c r="Q143" s="37"/>
      <c r="R143" s="37"/>
      <c r="S143" s="37"/>
      <c r="T143" s="37"/>
      <c r="U143" s="37"/>
      <c r="V143" s="37"/>
      <c r="W143" s="37"/>
      <c r="X143" s="37"/>
      <c r="Y143" s="37"/>
      <c r="Z143" s="37"/>
      <c r="AA143" s="37"/>
      <c r="AB143" s="37"/>
      <c r="AC143" s="37"/>
      <c r="AD143" s="37"/>
      <c r="AE143" s="37"/>
      <c r="AF143" s="37"/>
    </row>
    <row r="144" spans="1:32" x14ac:dyDescent="0.25">
      <c r="A144" s="135">
        <v>0.3125</v>
      </c>
      <c r="B144" s="274">
        <v>0.27263999999999994</v>
      </c>
      <c r="C144" s="274">
        <v>0.34560000000000002</v>
      </c>
      <c r="D144" s="274">
        <v>0</v>
      </c>
      <c r="E144" s="274">
        <v>0</v>
      </c>
      <c r="F144" s="274">
        <v>0</v>
      </c>
      <c r="G144" s="274">
        <v>0</v>
      </c>
      <c r="H144" s="274">
        <v>0</v>
      </c>
      <c r="I144" s="274">
        <v>0.56495999999999991</v>
      </c>
      <c r="J144" s="275">
        <v>4000</v>
      </c>
      <c r="K144" s="37"/>
      <c r="L144" s="37"/>
      <c r="M144" s="37"/>
      <c r="N144" s="37"/>
      <c r="O144" s="37"/>
      <c r="P144" s="37"/>
      <c r="Q144" s="37"/>
      <c r="R144" s="37"/>
      <c r="S144" s="37"/>
      <c r="T144" s="37"/>
      <c r="U144" s="37"/>
      <c r="V144" s="37"/>
      <c r="W144" s="37"/>
      <c r="X144" s="37"/>
      <c r="Y144" s="37"/>
      <c r="Z144" s="37"/>
      <c r="AA144" s="37"/>
      <c r="AB144" s="37"/>
      <c r="AC144" s="37"/>
      <c r="AD144" s="37"/>
      <c r="AE144" s="37"/>
      <c r="AF144" s="37"/>
    </row>
    <row r="145" spans="1:32" x14ac:dyDescent="0.25">
      <c r="A145" s="134">
        <v>0.33333333333333298</v>
      </c>
      <c r="B145" s="274">
        <v>0.27263999999999994</v>
      </c>
      <c r="C145" s="274">
        <v>0.34560000000000002</v>
      </c>
      <c r="D145" s="274">
        <v>0</v>
      </c>
      <c r="E145" s="274">
        <v>0</v>
      </c>
      <c r="F145" s="274">
        <v>0</v>
      </c>
      <c r="G145" s="274">
        <v>0</v>
      </c>
      <c r="H145" s="274">
        <v>0</v>
      </c>
      <c r="I145" s="274">
        <v>0.56495999999999991</v>
      </c>
      <c r="J145" s="275">
        <v>4000</v>
      </c>
      <c r="K145" s="37"/>
      <c r="L145" s="37"/>
      <c r="M145" s="37"/>
      <c r="N145" s="37"/>
      <c r="O145" s="37"/>
      <c r="P145" s="37"/>
      <c r="Q145" s="37"/>
      <c r="R145" s="37"/>
      <c r="S145" s="37"/>
      <c r="T145" s="37"/>
      <c r="U145" s="37"/>
      <c r="V145" s="37"/>
      <c r="W145" s="37"/>
      <c r="X145" s="37"/>
      <c r="Y145" s="37"/>
      <c r="Z145" s="37"/>
      <c r="AA145" s="37"/>
      <c r="AB145" s="37"/>
      <c r="AC145" s="37"/>
      <c r="AD145" s="37"/>
      <c r="AE145" s="37"/>
      <c r="AF145" s="37"/>
    </row>
    <row r="146" spans="1:32" x14ac:dyDescent="0.25">
      <c r="A146" s="135">
        <v>0.35416666666666702</v>
      </c>
      <c r="B146" s="274">
        <v>0.27263999999999994</v>
      </c>
      <c r="C146" s="274">
        <v>0.34560000000000002</v>
      </c>
      <c r="D146" s="274">
        <v>0</v>
      </c>
      <c r="E146" s="274">
        <v>0</v>
      </c>
      <c r="F146" s="274">
        <v>0</v>
      </c>
      <c r="G146" s="274">
        <v>0</v>
      </c>
      <c r="H146" s="274">
        <v>0</v>
      </c>
      <c r="I146" s="274">
        <v>0.56495999999999991</v>
      </c>
      <c r="J146" s="275">
        <v>4000</v>
      </c>
      <c r="K146" s="37"/>
      <c r="L146" s="37"/>
      <c r="M146" s="37"/>
      <c r="N146" s="37"/>
      <c r="O146" s="37"/>
      <c r="P146" s="37"/>
      <c r="Q146" s="37"/>
      <c r="R146" s="37"/>
      <c r="S146" s="37"/>
      <c r="T146" s="37"/>
      <c r="U146" s="37"/>
      <c r="V146" s="37"/>
      <c r="W146" s="37"/>
      <c r="X146" s="37"/>
      <c r="Y146" s="37"/>
      <c r="Z146" s="37"/>
      <c r="AA146" s="37"/>
      <c r="AB146" s="37"/>
      <c r="AC146" s="37"/>
      <c r="AD146" s="37"/>
      <c r="AE146" s="37"/>
      <c r="AF146" s="37"/>
    </row>
    <row r="147" spans="1:32" x14ac:dyDescent="0.25">
      <c r="A147" s="134">
        <v>0.375</v>
      </c>
      <c r="B147" s="274">
        <v>0.27263999999999994</v>
      </c>
      <c r="C147" s="274">
        <v>0.34560000000000002</v>
      </c>
      <c r="D147" s="274">
        <v>0</v>
      </c>
      <c r="E147" s="274">
        <v>0</v>
      </c>
      <c r="F147" s="274">
        <v>0</v>
      </c>
      <c r="G147" s="274">
        <v>0</v>
      </c>
      <c r="H147" s="274">
        <v>0</v>
      </c>
      <c r="I147" s="274">
        <v>0.56495999999999991</v>
      </c>
      <c r="J147" s="275">
        <v>4000</v>
      </c>
      <c r="K147" s="37"/>
      <c r="L147" s="37"/>
      <c r="M147" s="37"/>
      <c r="N147" s="37"/>
      <c r="O147" s="37"/>
      <c r="P147" s="37"/>
      <c r="Q147" s="37"/>
      <c r="R147" s="37"/>
      <c r="S147" s="37"/>
      <c r="T147" s="37"/>
      <c r="U147" s="37"/>
      <c r="V147" s="37"/>
      <c r="W147" s="37"/>
      <c r="X147" s="37"/>
      <c r="Y147" s="37"/>
      <c r="Z147" s="37"/>
      <c r="AA147" s="37"/>
      <c r="AB147" s="37"/>
      <c r="AC147" s="37"/>
      <c r="AD147" s="37"/>
      <c r="AE147" s="37"/>
      <c r="AF147" s="37"/>
    </row>
    <row r="148" spans="1:32" x14ac:dyDescent="0.25">
      <c r="A148" s="135">
        <v>0.39583333333333298</v>
      </c>
      <c r="B148" s="274">
        <v>0.27263999999999994</v>
      </c>
      <c r="C148" s="274">
        <v>0.34560000000000002</v>
      </c>
      <c r="D148" s="274">
        <v>0</v>
      </c>
      <c r="E148" s="274">
        <v>0</v>
      </c>
      <c r="F148" s="274">
        <v>0</v>
      </c>
      <c r="G148" s="274">
        <v>0</v>
      </c>
      <c r="H148" s="274">
        <v>0</v>
      </c>
      <c r="I148" s="274">
        <v>0.56495999999999991</v>
      </c>
      <c r="J148" s="275">
        <v>4000</v>
      </c>
      <c r="K148" s="37"/>
      <c r="L148" s="37"/>
      <c r="M148" s="37"/>
      <c r="N148" s="37"/>
      <c r="O148" s="37"/>
      <c r="P148" s="37"/>
      <c r="Q148" s="37"/>
      <c r="R148" s="37"/>
      <c r="S148" s="37"/>
      <c r="T148" s="37"/>
      <c r="U148" s="37"/>
      <c r="V148" s="37"/>
      <c r="W148" s="37"/>
      <c r="X148" s="37"/>
      <c r="Y148" s="37"/>
      <c r="Z148" s="37"/>
      <c r="AA148" s="37"/>
      <c r="AB148" s="37"/>
      <c r="AC148" s="37"/>
      <c r="AD148" s="37"/>
      <c r="AE148" s="37"/>
      <c r="AF148" s="37"/>
    </row>
    <row r="149" spans="1:32" x14ac:dyDescent="0.25">
      <c r="A149" s="134">
        <v>0.41666666666666702</v>
      </c>
      <c r="B149" s="274">
        <v>1.08192</v>
      </c>
      <c r="C149" s="274">
        <v>1.3692</v>
      </c>
      <c r="D149" s="274">
        <v>0</v>
      </c>
      <c r="E149" s="274">
        <v>0</v>
      </c>
      <c r="F149" s="274">
        <v>0</v>
      </c>
      <c r="G149" s="274">
        <v>0</v>
      </c>
      <c r="H149" s="274">
        <v>0</v>
      </c>
      <c r="I149" s="274">
        <v>2.4383999999999997</v>
      </c>
      <c r="J149" s="275">
        <v>10234</v>
      </c>
      <c r="K149" s="37"/>
      <c r="L149" s="37"/>
      <c r="M149" s="37"/>
      <c r="N149" s="37"/>
      <c r="O149" s="37"/>
      <c r="P149" s="37"/>
      <c r="Q149" s="37"/>
      <c r="R149" s="37"/>
      <c r="S149" s="37"/>
      <c r="T149" s="37"/>
      <c r="U149" s="37"/>
      <c r="V149" s="37"/>
      <c r="W149" s="37"/>
      <c r="X149" s="37"/>
      <c r="Y149" s="37"/>
      <c r="Z149" s="37"/>
      <c r="AA149" s="37"/>
      <c r="AB149" s="37"/>
      <c r="AC149" s="37"/>
      <c r="AD149" s="37"/>
      <c r="AE149" s="37"/>
      <c r="AF149" s="37"/>
    </row>
    <row r="150" spans="1:32" x14ac:dyDescent="0.25">
      <c r="A150" s="135">
        <v>0.4375</v>
      </c>
      <c r="B150" s="274">
        <v>1.08192</v>
      </c>
      <c r="C150" s="274">
        <v>1.3692</v>
      </c>
      <c r="D150" s="274">
        <v>0</v>
      </c>
      <c r="E150" s="274">
        <v>0</v>
      </c>
      <c r="F150" s="274">
        <v>0</v>
      </c>
      <c r="G150" s="274">
        <v>0</v>
      </c>
      <c r="H150" s="274">
        <v>0</v>
      </c>
      <c r="I150" s="274">
        <v>4.1690399999999999</v>
      </c>
      <c r="J150" s="275">
        <v>13896</v>
      </c>
      <c r="K150" s="37"/>
      <c r="L150" s="37"/>
      <c r="M150" s="37"/>
      <c r="N150" s="37"/>
      <c r="O150" s="37"/>
      <c r="P150" s="37"/>
      <c r="Q150" s="37"/>
      <c r="R150" s="37"/>
      <c r="S150" s="37"/>
      <c r="T150" s="37"/>
      <c r="U150" s="37"/>
      <c r="V150" s="37"/>
      <c r="W150" s="37"/>
      <c r="X150" s="37"/>
      <c r="Y150" s="37"/>
      <c r="Z150" s="37"/>
      <c r="AA150" s="37"/>
      <c r="AB150" s="37"/>
      <c r="AC150" s="37"/>
      <c r="AD150" s="37"/>
      <c r="AE150" s="37"/>
      <c r="AF150" s="37"/>
    </row>
    <row r="151" spans="1:32" x14ac:dyDescent="0.25">
      <c r="A151" s="134">
        <v>0.45833333333333298</v>
      </c>
      <c r="B151" s="274">
        <v>0.27263999999999994</v>
      </c>
      <c r="C151" s="274">
        <v>0.34560000000000002</v>
      </c>
      <c r="D151" s="274">
        <v>0</v>
      </c>
      <c r="E151" s="274">
        <v>0</v>
      </c>
      <c r="F151" s="274">
        <v>3.194655</v>
      </c>
      <c r="G151" s="274">
        <v>0.4</v>
      </c>
      <c r="H151" s="274">
        <v>0</v>
      </c>
      <c r="I151" s="274">
        <v>1.4073600000000002</v>
      </c>
      <c r="J151" s="275">
        <v>6699</v>
      </c>
      <c r="K151" s="37"/>
      <c r="L151" s="37"/>
      <c r="M151" s="37"/>
      <c r="N151" s="37"/>
      <c r="O151" s="37"/>
      <c r="P151" s="37"/>
      <c r="Q151" s="37"/>
      <c r="R151" s="37"/>
      <c r="S151" s="37"/>
      <c r="T151" s="37"/>
      <c r="U151" s="37"/>
      <c r="V151" s="37"/>
      <c r="W151" s="37"/>
      <c r="X151" s="37"/>
      <c r="Y151" s="37"/>
      <c r="Z151" s="37"/>
      <c r="AA151" s="37"/>
      <c r="AB151" s="37"/>
      <c r="AC151" s="37"/>
      <c r="AD151" s="37"/>
      <c r="AE151" s="37"/>
      <c r="AF151" s="37"/>
    </row>
    <row r="152" spans="1:32" x14ac:dyDescent="0.25">
      <c r="A152" s="135">
        <v>0.47916666666666702</v>
      </c>
      <c r="B152" s="274">
        <v>0.27263999999999994</v>
      </c>
      <c r="C152" s="274">
        <v>0.34560000000000002</v>
      </c>
      <c r="D152" s="274">
        <v>0</v>
      </c>
      <c r="E152" s="274">
        <v>0</v>
      </c>
      <c r="F152" s="274">
        <v>3.194655</v>
      </c>
      <c r="G152" s="274">
        <v>0.4</v>
      </c>
      <c r="H152" s="274">
        <v>0</v>
      </c>
      <c r="I152" s="274">
        <v>1.4073600000000002</v>
      </c>
      <c r="J152" s="275">
        <v>6699</v>
      </c>
      <c r="K152" s="37"/>
      <c r="L152" s="37"/>
      <c r="M152" s="37"/>
      <c r="N152" s="37"/>
      <c r="O152" s="37"/>
      <c r="P152" s="37"/>
      <c r="Q152" s="37"/>
      <c r="R152" s="37"/>
      <c r="S152" s="37"/>
      <c r="T152" s="37"/>
      <c r="U152" s="37"/>
      <c r="V152" s="37"/>
      <c r="W152" s="37"/>
      <c r="X152" s="37"/>
      <c r="Y152" s="37"/>
      <c r="Z152" s="37"/>
      <c r="AA152" s="37"/>
      <c r="AB152" s="37"/>
      <c r="AC152" s="37"/>
      <c r="AD152" s="37"/>
      <c r="AE152" s="37"/>
      <c r="AF152" s="37"/>
    </row>
    <row r="153" spans="1:32" x14ac:dyDescent="0.25">
      <c r="A153" s="134">
        <v>0.5</v>
      </c>
      <c r="B153" s="274">
        <v>0.27263999999999994</v>
      </c>
      <c r="C153" s="274">
        <v>0.34560000000000002</v>
      </c>
      <c r="D153" s="274">
        <v>0</v>
      </c>
      <c r="E153" s="274">
        <v>0</v>
      </c>
      <c r="F153" s="274">
        <v>5.5661866666666659</v>
      </c>
      <c r="G153" s="274">
        <v>0.8</v>
      </c>
      <c r="H153" s="274">
        <v>4.438393333333333</v>
      </c>
      <c r="I153" s="274">
        <v>0.56495999999999991</v>
      </c>
      <c r="J153" s="275">
        <v>4000</v>
      </c>
      <c r="K153" s="37"/>
      <c r="L153" s="37"/>
      <c r="M153" s="37"/>
      <c r="N153" s="37"/>
      <c r="O153" s="37"/>
      <c r="P153" s="37"/>
      <c r="Q153" s="37"/>
      <c r="R153" s="37"/>
      <c r="S153" s="37"/>
      <c r="T153" s="37"/>
      <c r="U153" s="37"/>
      <c r="V153" s="37"/>
      <c r="W153" s="37"/>
      <c r="X153" s="37"/>
      <c r="Y153" s="37"/>
      <c r="Z153" s="37"/>
      <c r="AA153" s="37"/>
      <c r="AB153" s="37"/>
      <c r="AC153" s="37"/>
      <c r="AD153" s="37"/>
      <c r="AE153" s="37"/>
      <c r="AF153" s="37"/>
    </row>
    <row r="154" spans="1:32" x14ac:dyDescent="0.25">
      <c r="A154" s="135">
        <v>0.52083333333333304</v>
      </c>
      <c r="B154" s="274">
        <v>0.27263999999999994</v>
      </c>
      <c r="C154" s="274">
        <v>0.34560000000000002</v>
      </c>
      <c r="D154" s="274">
        <v>0</v>
      </c>
      <c r="E154" s="274">
        <v>0</v>
      </c>
      <c r="F154" s="274">
        <v>5.5661866666666659</v>
      </c>
      <c r="G154" s="274">
        <v>0.8</v>
      </c>
      <c r="H154" s="274">
        <v>4.438393333333333</v>
      </c>
      <c r="I154" s="274">
        <v>0.56495999999999991</v>
      </c>
      <c r="J154" s="275">
        <v>4000</v>
      </c>
      <c r="K154" s="37"/>
      <c r="L154" s="37"/>
      <c r="M154" s="37"/>
      <c r="N154" s="37"/>
      <c r="O154" s="37"/>
      <c r="P154" s="37"/>
      <c r="Q154" s="37"/>
      <c r="R154" s="37"/>
      <c r="S154" s="37"/>
      <c r="T154" s="37"/>
      <c r="U154" s="37"/>
      <c r="V154" s="37"/>
      <c r="W154" s="37"/>
      <c r="X154" s="37"/>
      <c r="Y154" s="37"/>
      <c r="Z154" s="37"/>
      <c r="AA154" s="37"/>
      <c r="AB154" s="37"/>
      <c r="AC154" s="37"/>
      <c r="AD154" s="37"/>
      <c r="AE154" s="37"/>
      <c r="AF154" s="37"/>
    </row>
    <row r="155" spans="1:32" x14ac:dyDescent="0.25">
      <c r="A155" s="134">
        <v>0.54166666666666696</v>
      </c>
      <c r="B155" s="274">
        <v>0.67727999999999999</v>
      </c>
      <c r="C155" s="274">
        <v>0.85739999999999994</v>
      </c>
      <c r="D155" s="274">
        <v>0</v>
      </c>
      <c r="E155" s="274">
        <v>0</v>
      </c>
      <c r="F155" s="274">
        <v>0</v>
      </c>
      <c r="G155" s="274">
        <v>0</v>
      </c>
      <c r="H155" s="274">
        <v>0</v>
      </c>
      <c r="I155" s="274">
        <v>1.5016800000000001</v>
      </c>
      <c r="J155" s="275">
        <v>7117</v>
      </c>
      <c r="K155" s="37"/>
      <c r="L155" s="37"/>
      <c r="M155" s="37"/>
      <c r="N155" s="37"/>
      <c r="O155" s="37"/>
      <c r="P155" s="37"/>
      <c r="Q155" s="37"/>
      <c r="R155" s="37"/>
      <c r="S155" s="37"/>
      <c r="T155" s="37"/>
      <c r="U155" s="37"/>
      <c r="V155" s="37"/>
      <c r="W155" s="37"/>
      <c r="X155" s="37"/>
      <c r="Y155" s="37"/>
      <c r="Z155" s="37"/>
      <c r="AA155" s="37"/>
      <c r="AB155" s="37"/>
      <c r="AC155" s="37"/>
      <c r="AD155" s="37"/>
      <c r="AE155" s="37"/>
      <c r="AF155" s="37"/>
    </row>
    <row r="156" spans="1:32" x14ac:dyDescent="0.25">
      <c r="A156" s="135">
        <v>0.5625</v>
      </c>
      <c r="B156" s="274">
        <v>0.67727999999999999</v>
      </c>
      <c r="C156" s="274">
        <v>0.85739999999999994</v>
      </c>
      <c r="D156" s="274">
        <v>0</v>
      </c>
      <c r="E156" s="274">
        <v>0</v>
      </c>
      <c r="F156" s="274">
        <v>0</v>
      </c>
      <c r="G156" s="274">
        <v>0</v>
      </c>
      <c r="H156" s="274">
        <v>0</v>
      </c>
      <c r="I156" s="274">
        <v>2.3669999999999995</v>
      </c>
      <c r="J156" s="275">
        <v>8948</v>
      </c>
      <c r="K156" s="37"/>
      <c r="L156" s="37"/>
      <c r="M156" s="37"/>
      <c r="N156" s="37"/>
      <c r="O156" s="37"/>
      <c r="P156" s="37"/>
      <c r="Q156" s="37"/>
      <c r="R156" s="37"/>
      <c r="S156" s="37"/>
      <c r="T156" s="37"/>
      <c r="U156" s="37"/>
      <c r="V156" s="37"/>
      <c r="W156" s="37"/>
      <c r="X156" s="37"/>
      <c r="Y156" s="37"/>
      <c r="Z156" s="37"/>
      <c r="AA156" s="37"/>
      <c r="AB156" s="37"/>
      <c r="AC156" s="37"/>
      <c r="AD156" s="37"/>
      <c r="AE156" s="37"/>
      <c r="AF156" s="37"/>
    </row>
    <row r="157" spans="1:32" x14ac:dyDescent="0.25">
      <c r="A157" s="134">
        <v>0.58333333333333304</v>
      </c>
      <c r="B157" s="274">
        <v>0.27263999999999994</v>
      </c>
      <c r="C157" s="274">
        <v>0.34560000000000002</v>
      </c>
      <c r="D157" s="274">
        <v>0</v>
      </c>
      <c r="E157" s="274">
        <v>0</v>
      </c>
      <c r="F157" s="274">
        <v>1.5973275</v>
      </c>
      <c r="G157" s="274">
        <v>0.2</v>
      </c>
      <c r="H157" s="274">
        <v>0</v>
      </c>
      <c r="I157" s="274">
        <v>0.98615999999999993</v>
      </c>
      <c r="J157" s="275">
        <v>5349.5</v>
      </c>
      <c r="K157" s="37"/>
      <c r="L157" s="37"/>
      <c r="M157" s="37"/>
      <c r="N157" s="37"/>
      <c r="O157" s="37"/>
      <c r="P157" s="37"/>
      <c r="Q157" s="37"/>
      <c r="R157" s="37"/>
      <c r="S157" s="37"/>
      <c r="T157" s="37"/>
      <c r="U157" s="37"/>
      <c r="V157" s="37"/>
      <c r="W157" s="37"/>
      <c r="X157" s="37"/>
      <c r="Y157" s="37"/>
      <c r="Z157" s="37"/>
      <c r="AA157" s="37"/>
      <c r="AB157" s="37"/>
      <c r="AC157" s="37"/>
      <c r="AD157" s="37"/>
      <c r="AE157" s="37"/>
      <c r="AF157" s="37"/>
    </row>
    <row r="158" spans="1:32" x14ac:dyDescent="0.25">
      <c r="A158" s="135">
        <v>0.60416666666666696</v>
      </c>
      <c r="B158" s="274">
        <v>0.27263999999999994</v>
      </c>
      <c r="C158" s="274">
        <v>0.34560000000000002</v>
      </c>
      <c r="D158" s="274">
        <v>0</v>
      </c>
      <c r="E158" s="274">
        <v>0</v>
      </c>
      <c r="F158" s="274">
        <v>1.5973275</v>
      </c>
      <c r="G158" s="274">
        <v>0.2</v>
      </c>
      <c r="H158" s="274">
        <v>0</v>
      </c>
      <c r="I158" s="274">
        <v>0.98615999999999993</v>
      </c>
      <c r="J158" s="275">
        <v>5349.5</v>
      </c>
      <c r="K158" s="37"/>
      <c r="L158" s="37"/>
      <c r="M158" s="37"/>
      <c r="N158" s="37"/>
      <c r="O158" s="37"/>
      <c r="P158" s="37"/>
      <c r="Q158" s="37"/>
      <c r="R158" s="37"/>
      <c r="S158" s="37"/>
      <c r="T158" s="37"/>
      <c r="U158" s="37"/>
      <c r="V158" s="37"/>
      <c r="W158" s="37"/>
      <c r="X158" s="37"/>
      <c r="Y158" s="37"/>
      <c r="Z158" s="37"/>
      <c r="AA158" s="37"/>
      <c r="AB158" s="37"/>
      <c r="AC158" s="37"/>
      <c r="AD158" s="37"/>
      <c r="AE158" s="37"/>
      <c r="AF158" s="37"/>
    </row>
    <row r="159" spans="1:32" x14ac:dyDescent="0.25">
      <c r="A159" s="134">
        <v>0.625</v>
      </c>
      <c r="B159" s="274">
        <v>0.27263999999999994</v>
      </c>
      <c r="C159" s="274">
        <v>0.34560000000000002</v>
      </c>
      <c r="D159" s="274">
        <v>0</v>
      </c>
      <c r="E159" s="274">
        <v>0</v>
      </c>
      <c r="F159" s="274">
        <v>0</v>
      </c>
      <c r="G159" s="274">
        <v>0</v>
      </c>
      <c r="H159" s="274">
        <v>0</v>
      </c>
      <c r="I159" s="274">
        <v>0.56495999999999991</v>
      </c>
      <c r="J159" s="275">
        <v>4000</v>
      </c>
      <c r="K159" s="37"/>
      <c r="L159" s="37"/>
      <c r="M159" s="37"/>
      <c r="N159" s="37"/>
      <c r="O159" s="37"/>
      <c r="P159" s="37"/>
      <c r="Q159" s="37"/>
      <c r="R159" s="37"/>
      <c r="S159" s="37"/>
      <c r="T159" s="37"/>
      <c r="U159" s="37"/>
      <c r="V159" s="37"/>
      <c r="W159" s="37"/>
      <c r="X159" s="37"/>
      <c r="Y159" s="37"/>
      <c r="Z159" s="37"/>
      <c r="AA159" s="37"/>
      <c r="AB159" s="37"/>
      <c r="AC159" s="37"/>
      <c r="AD159" s="37"/>
      <c r="AE159" s="37"/>
      <c r="AF159" s="37"/>
    </row>
    <row r="160" spans="1:32" x14ac:dyDescent="0.25">
      <c r="A160" s="135">
        <v>0.64583333333333304</v>
      </c>
      <c r="B160" s="274">
        <v>0.27263999999999994</v>
      </c>
      <c r="C160" s="274">
        <v>0.34560000000000002</v>
      </c>
      <c r="D160" s="274">
        <v>0</v>
      </c>
      <c r="E160" s="274">
        <v>0</v>
      </c>
      <c r="F160" s="274">
        <v>0</v>
      </c>
      <c r="G160" s="274">
        <v>0</v>
      </c>
      <c r="H160" s="274">
        <v>0</v>
      </c>
      <c r="I160" s="274">
        <v>0.56495999999999991</v>
      </c>
      <c r="J160" s="275">
        <v>4000</v>
      </c>
      <c r="K160" s="37"/>
      <c r="L160" s="37"/>
      <c r="M160" s="37"/>
      <c r="N160" s="37"/>
      <c r="O160" s="37"/>
      <c r="P160" s="37"/>
      <c r="Q160" s="37"/>
      <c r="R160" s="37"/>
      <c r="S160" s="37"/>
      <c r="T160" s="37"/>
      <c r="U160" s="37"/>
      <c r="V160" s="37"/>
      <c r="W160" s="37"/>
      <c r="X160" s="37"/>
      <c r="Y160" s="37"/>
      <c r="Z160" s="37"/>
      <c r="AA160" s="37"/>
      <c r="AB160" s="37"/>
      <c r="AC160" s="37"/>
      <c r="AD160" s="37"/>
      <c r="AE160" s="37"/>
      <c r="AF160" s="37"/>
    </row>
    <row r="161" spans="1:32" x14ac:dyDescent="0.25">
      <c r="A161" s="134">
        <v>0.66666666666666696</v>
      </c>
      <c r="B161" s="274">
        <v>0.67727999999999988</v>
      </c>
      <c r="C161" s="274">
        <v>0.85739999999999994</v>
      </c>
      <c r="D161" s="274">
        <v>0</v>
      </c>
      <c r="E161" s="274">
        <v>0</v>
      </c>
      <c r="F161" s="274">
        <v>0</v>
      </c>
      <c r="G161" s="274">
        <v>0</v>
      </c>
      <c r="H161" s="274">
        <v>0</v>
      </c>
      <c r="I161" s="274">
        <v>1.5016799999999999</v>
      </c>
      <c r="J161" s="275">
        <v>7117</v>
      </c>
      <c r="K161" s="37"/>
      <c r="L161" s="37"/>
      <c r="M161" s="37"/>
      <c r="N161" s="37"/>
      <c r="O161" s="37"/>
      <c r="P161" s="37"/>
      <c r="Q161" s="37"/>
      <c r="R161" s="37"/>
      <c r="S161" s="37"/>
      <c r="T161" s="37"/>
      <c r="U161" s="37"/>
      <c r="V161" s="37"/>
      <c r="W161" s="37"/>
      <c r="X161" s="37"/>
      <c r="Y161" s="37"/>
      <c r="Z161" s="37"/>
      <c r="AA161" s="37"/>
      <c r="AB161" s="37"/>
      <c r="AC161" s="37"/>
      <c r="AD161" s="37"/>
      <c r="AE161" s="37"/>
      <c r="AF161" s="37"/>
    </row>
    <row r="162" spans="1:32" x14ac:dyDescent="0.25">
      <c r="A162" s="135">
        <v>0.6875</v>
      </c>
      <c r="B162" s="274">
        <v>0.67727999999999988</v>
      </c>
      <c r="C162" s="274">
        <v>0.85739999999999994</v>
      </c>
      <c r="D162" s="274">
        <v>0</v>
      </c>
      <c r="E162" s="274">
        <v>0</v>
      </c>
      <c r="F162" s="274">
        <v>0</v>
      </c>
      <c r="G162" s="274">
        <v>0</v>
      </c>
      <c r="H162" s="274">
        <v>0</v>
      </c>
      <c r="I162" s="274">
        <v>2.367</v>
      </c>
      <c r="J162" s="275">
        <v>8948</v>
      </c>
      <c r="K162" s="37"/>
      <c r="L162" s="37"/>
      <c r="M162" s="37"/>
      <c r="N162" s="37"/>
      <c r="O162" s="37"/>
      <c r="P162" s="37"/>
      <c r="Q162" s="37"/>
      <c r="R162" s="37"/>
      <c r="S162" s="37"/>
      <c r="T162" s="37"/>
      <c r="U162" s="37"/>
      <c r="V162" s="37"/>
      <c r="W162" s="37"/>
      <c r="X162" s="37"/>
      <c r="Y162" s="37"/>
      <c r="Z162" s="37"/>
      <c r="AA162" s="37"/>
      <c r="AB162" s="37"/>
      <c r="AC162" s="37"/>
      <c r="AD162" s="37"/>
      <c r="AE162" s="37"/>
      <c r="AF162" s="37"/>
    </row>
    <row r="163" spans="1:32" x14ac:dyDescent="0.25">
      <c r="A163" s="134">
        <v>0.70833333333333304</v>
      </c>
      <c r="B163" s="274">
        <v>0.27263999999999994</v>
      </c>
      <c r="C163" s="274">
        <v>0.34560000000000002</v>
      </c>
      <c r="D163" s="274">
        <v>0</v>
      </c>
      <c r="E163" s="274">
        <v>0</v>
      </c>
      <c r="F163" s="274">
        <v>1.5973275</v>
      </c>
      <c r="G163" s="274">
        <v>0.2</v>
      </c>
      <c r="H163" s="274">
        <v>0</v>
      </c>
      <c r="I163" s="274">
        <v>0.98615999999999993</v>
      </c>
      <c r="J163" s="275">
        <v>5349.5</v>
      </c>
      <c r="K163" s="37"/>
      <c r="L163" s="37"/>
      <c r="M163" s="37"/>
      <c r="N163" s="37"/>
      <c r="O163" s="37"/>
      <c r="P163" s="37"/>
      <c r="Q163" s="37"/>
      <c r="R163" s="37"/>
      <c r="S163" s="37"/>
      <c r="T163" s="37"/>
      <c r="U163" s="37"/>
      <c r="V163" s="37"/>
      <c r="W163" s="37"/>
      <c r="X163" s="37"/>
      <c r="Y163" s="37"/>
      <c r="Z163" s="37"/>
      <c r="AA163" s="37"/>
      <c r="AB163" s="37"/>
      <c r="AC163" s="37"/>
      <c r="AD163" s="37"/>
      <c r="AE163" s="37"/>
      <c r="AF163" s="37"/>
    </row>
    <row r="164" spans="1:32" x14ac:dyDescent="0.25">
      <c r="A164" s="135">
        <v>0.72916666666666696</v>
      </c>
      <c r="B164" s="274">
        <v>0.27263999999999994</v>
      </c>
      <c r="C164" s="274">
        <v>0.34560000000000002</v>
      </c>
      <c r="D164" s="274">
        <v>0</v>
      </c>
      <c r="E164" s="274">
        <v>0</v>
      </c>
      <c r="F164" s="274">
        <v>1.5973275</v>
      </c>
      <c r="G164" s="274">
        <v>0.2</v>
      </c>
      <c r="H164" s="274">
        <v>0</v>
      </c>
      <c r="I164" s="274">
        <v>0.98615999999999993</v>
      </c>
      <c r="J164" s="275">
        <v>5349.5</v>
      </c>
      <c r="K164" s="37"/>
      <c r="L164" s="37"/>
      <c r="M164" s="37"/>
      <c r="N164" s="37"/>
      <c r="O164" s="37"/>
      <c r="P164" s="37"/>
      <c r="Q164" s="37"/>
      <c r="R164" s="37"/>
      <c r="S164" s="37"/>
      <c r="T164" s="37"/>
      <c r="U164" s="37"/>
      <c r="V164" s="37"/>
      <c r="W164" s="37"/>
      <c r="X164" s="37"/>
      <c r="Y164" s="37"/>
      <c r="Z164" s="37"/>
      <c r="AA164" s="37"/>
      <c r="AB164" s="37"/>
      <c r="AC164" s="37"/>
      <c r="AD164" s="37"/>
      <c r="AE164" s="37"/>
      <c r="AF164" s="37"/>
    </row>
    <row r="165" spans="1:32" x14ac:dyDescent="0.25">
      <c r="A165" s="134">
        <v>0.75</v>
      </c>
      <c r="B165" s="274">
        <v>0.27263999999999994</v>
      </c>
      <c r="C165" s="274">
        <v>0.34560000000000002</v>
      </c>
      <c r="D165" s="274">
        <v>0</v>
      </c>
      <c r="E165" s="274">
        <v>0</v>
      </c>
      <c r="F165" s="274">
        <v>0</v>
      </c>
      <c r="G165" s="274">
        <v>0</v>
      </c>
      <c r="H165" s="274">
        <v>0</v>
      </c>
      <c r="I165" s="274">
        <v>0.56495999999999991</v>
      </c>
      <c r="J165" s="275">
        <v>4000</v>
      </c>
      <c r="K165" s="37"/>
      <c r="L165" s="37"/>
      <c r="M165" s="37"/>
      <c r="N165" s="37"/>
      <c r="O165" s="37"/>
      <c r="P165" s="37"/>
      <c r="Q165" s="37"/>
      <c r="R165" s="37"/>
      <c r="S165" s="37"/>
      <c r="T165" s="37"/>
      <c r="U165" s="37"/>
      <c r="V165" s="37"/>
      <c r="W165" s="37"/>
      <c r="X165" s="37"/>
      <c r="Y165" s="37"/>
      <c r="Z165" s="37"/>
      <c r="AA165" s="37"/>
      <c r="AB165" s="37"/>
      <c r="AC165" s="37"/>
      <c r="AD165" s="37"/>
      <c r="AE165" s="37"/>
      <c r="AF165" s="37"/>
    </row>
    <row r="166" spans="1:32" x14ac:dyDescent="0.25">
      <c r="A166" s="135">
        <v>0.77083333333333304</v>
      </c>
      <c r="B166" s="274">
        <v>0.27263999999999994</v>
      </c>
      <c r="C166" s="274">
        <v>0.34560000000000002</v>
      </c>
      <c r="D166" s="274">
        <v>0</v>
      </c>
      <c r="E166" s="274">
        <v>0</v>
      </c>
      <c r="F166" s="274">
        <v>0</v>
      </c>
      <c r="G166" s="274">
        <v>0</v>
      </c>
      <c r="H166" s="274">
        <v>0</v>
      </c>
      <c r="I166" s="274">
        <v>0.56495999999999991</v>
      </c>
      <c r="J166" s="275">
        <v>4000</v>
      </c>
      <c r="K166" s="37"/>
      <c r="L166" s="37"/>
      <c r="M166" s="37"/>
      <c r="N166" s="37"/>
      <c r="O166" s="37"/>
      <c r="P166" s="37"/>
      <c r="Q166" s="37"/>
      <c r="R166" s="37"/>
      <c r="S166" s="37"/>
      <c r="T166" s="37"/>
      <c r="U166" s="37"/>
      <c r="V166" s="37"/>
      <c r="W166" s="37"/>
      <c r="X166" s="37"/>
      <c r="Y166" s="37"/>
      <c r="Z166" s="37"/>
      <c r="AA166" s="37"/>
      <c r="AB166" s="37"/>
      <c r="AC166" s="37"/>
      <c r="AD166" s="37"/>
      <c r="AE166" s="37"/>
      <c r="AF166" s="37"/>
    </row>
    <row r="167" spans="1:32" x14ac:dyDescent="0.25">
      <c r="A167" s="134">
        <v>0.79166666666666696</v>
      </c>
      <c r="B167" s="274">
        <v>0.27263999999999994</v>
      </c>
      <c r="C167" s="274">
        <v>0.34560000000000002</v>
      </c>
      <c r="D167" s="274">
        <v>0</v>
      </c>
      <c r="E167" s="274">
        <v>0</v>
      </c>
      <c r="F167" s="274">
        <v>5.5661866666666659</v>
      </c>
      <c r="G167" s="274">
        <v>0.8</v>
      </c>
      <c r="H167" s="274">
        <v>4.438393333333333</v>
      </c>
      <c r="I167" s="274">
        <v>0.56495999999999991</v>
      </c>
      <c r="J167" s="275">
        <v>4000</v>
      </c>
      <c r="K167" s="37"/>
      <c r="L167" s="37"/>
      <c r="M167" s="37"/>
      <c r="N167" s="37"/>
      <c r="O167" s="37"/>
      <c r="P167" s="37"/>
      <c r="Q167" s="37"/>
      <c r="R167" s="37"/>
      <c r="S167" s="37"/>
      <c r="T167" s="37"/>
      <c r="U167" s="37"/>
      <c r="V167" s="37"/>
      <c r="W167" s="37"/>
      <c r="X167" s="37"/>
      <c r="Y167" s="37"/>
      <c r="Z167" s="37"/>
      <c r="AA167" s="37"/>
      <c r="AB167" s="37"/>
      <c r="AC167" s="37"/>
      <c r="AD167" s="37"/>
      <c r="AE167" s="37"/>
      <c r="AF167" s="37"/>
    </row>
    <row r="168" spans="1:32" x14ac:dyDescent="0.25">
      <c r="A168" s="135">
        <v>0.8125</v>
      </c>
      <c r="B168" s="274">
        <v>0.27263999999999994</v>
      </c>
      <c r="C168" s="274">
        <v>0.34560000000000002</v>
      </c>
      <c r="D168" s="274">
        <v>0</v>
      </c>
      <c r="E168" s="274">
        <v>0</v>
      </c>
      <c r="F168" s="274">
        <v>5.5661866666666659</v>
      </c>
      <c r="G168" s="274">
        <v>0.8</v>
      </c>
      <c r="H168" s="274">
        <v>4.438393333333333</v>
      </c>
      <c r="I168" s="274">
        <v>0.56495999999999991</v>
      </c>
      <c r="J168" s="275">
        <v>4000</v>
      </c>
      <c r="K168" s="37"/>
      <c r="L168" s="37"/>
      <c r="M168" s="37"/>
      <c r="N168" s="37"/>
      <c r="O168" s="37"/>
      <c r="P168" s="37"/>
      <c r="Q168" s="37"/>
      <c r="R168" s="37"/>
      <c r="S168" s="37"/>
      <c r="T168" s="37"/>
      <c r="U168" s="37"/>
      <c r="V168" s="37"/>
      <c r="W168" s="37"/>
      <c r="X168" s="37"/>
      <c r="Y168" s="37"/>
      <c r="Z168" s="37"/>
      <c r="AA168" s="37"/>
      <c r="AB168" s="37"/>
      <c r="AC168" s="37"/>
      <c r="AD168" s="37"/>
      <c r="AE168" s="37"/>
      <c r="AF168" s="37"/>
    </row>
    <row r="169" spans="1:32" x14ac:dyDescent="0.25">
      <c r="A169" s="134">
        <v>0.83333333333333304</v>
      </c>
      <c r="B169" s="274">
        <v>0.27263999999999994</v>
      </c>
      <c r="C169" s="274">
        <v>0.34560000000000002</v>
      </c>
      <c r="D169" s="274">
        <v>0</v>
      </c>
      <c r="E169" s="274">
        <v>0</v>
      </c>
      <c r="F169" s="274">
        <v>0</v>
      </c>
      <c r="G169" s="274">
        <v>0</v>
      </c>
      <c r="H169" s="274">
        <v>0</v>
      </c>
      <c r="I169" s="274">
        <v>0.56495999999999991</v>
      </c>
      <c r="J169" s="275">
        <v>4000</v>
      </c>
      <c r="K169" s="37"/>
      <c r="L169" s="37"/>
      <c r="M169" s="37"/>
      <c r="N169" s="37"/>
      <c r="O169" s="37"/>
      <c r="P169" s="37"/>
      <c r="Q169" s="37"/>
      <c r="R169" s="37"/>
      <c r="S169" s="37"/>
      <c r="T169" s="37"/>
      <c r="U169" s="37"/>
      <c r="V169" s="37"/>
      <c r="W169" s="37"/>
      <c r="X169" s="37"/>
      <c r="Y169" s="37"/>
      <c r="Z169" s="37"/>
      <c r="AA169" s="37"/>
      <c r="AB169" s="37"/>
      <c r="AC169" s="37"/>
      <c r="AD169" s="37"/>
      <c r="AE169" s="37"/>
      <c r="AF169" s="37"/>
    </row>
    <row r="170" spans="1:32" x14ac:dyDescent="0.25">
      <c r="A170" s="135">
        <v>0.85416666666666696</v>
      </c>
      <c r="B170" s="274">
        <v>0.27263999999999994</v>
      </c>
      <c r="C170" s="274">
        <v>0.34560000000000002</v>
      </c>
      <c r="D170" s="274">
        <v>0</v>
      </c>
      <c r="E170" s="274">
        <v>0</v>
      </c>
      <c r="F170" s="274">
        <v>0</v>
      </c>
      <c r="G170" s="274">
        <v>0</v>
      </c>
      <c r="H170" s="274">
        <v>0</v>
      </c>
      <c r="I170" s="274">
        <v>0.56495999999999991</v>
      </c>
      <c r="J170" s="275">
        <v>4000</v>
      </c>
      <c r="K170" s="37"/>
      <c r="L170" s="37"/>
      <c r="M170" s="37"/>
      <c r="N170" s="37"/>
      <c r="O170" s="37"/>
      <c r="P170" s="37"/>
      <c r="Q170" s="37"/>
      <c r="R170" s="37"/>
      <c r="S170" s="37"/>
      <c r="T170" s="37"/>
      <c r="U170" s="37"/>
      <c r="V170" s="37"/>
      <c r="W170" s="37"/>
      <c r="X170" s="37"/>
      <c r="Y170" s="37"/>
      <c r="Z170" s="37"/>
      <c r="AA170" s="37"/>
      <c r="AB170" s="37"/>
      <c r="AC170" s="37"/>
      <c r="AD170" s="37"/>
      <c r="AE170" s="37"/>
      <c r="AF170" s="37"/>
    </row>
    <row r="171" spans="1:32" x14ac:dyDescent="0.25">
      <c r="A171" s="134">
        <v>0.875</v>
      </c>
      <c r="B171" s="274">
        <v>0.27263999999999994</v>
      </c>
      <c r="C171" s="274">
        <v>0.34560000000000002</v>
      </c>
      <c r="D171" s="274">
        <v>4.2666666666666666</v>
      </c>
      <c r="E171" s="274">
        <v>0</v>
      </c>
      <c r="F171" s="274">
        <v>0</v>
      </c>
      <c r="G171" s="274">
        <v>0</v>
      </c>
      <c r="H171" s="274">
        <v>0</v>
      </c>
      <c r="I171" s="274">
        <v>0.56495999999999991</v>
      </c>
      <c r="J171" s="275">
        <v>4000</v>
      </c>
      <c r="K171" s="37"/>
      <c r="L171" s="37"/>
      <c r="M171" s="37"/>
      <c r="N171" s="37"/>
      <c r="O171" s="37"/>
      <c r="P171" s="37"/>
      <c r="Q171" s="37"/>
      <c r="R171" s="37"/>
      <c r="S171" s="37"/>
      <c r="T171" s="37"/>
      <c r="U171" s="37"/>
      <c r="V171" s="37"/>
      <c r="W171" s="37"/>
      <c r="X171" s="37"/>
      <c r="Y171" s="37"/>
      <c r="Z171" s="37"/>
      <c r="AA171" s="37"/>
      <c r="AB171" s="37"/>
      <c r="AC171" s="37"/>
      <c r="AD171" s="37"/>
      <c r="AE171" s="37"/>
      <c r="AF171" s="37"/>
    </row>
    <row r="172" spans="1:32" x14ac:dyDescent="0.25">
      <c r="A172" s="135">
        <v>0.89583333333333304</v>
      </c>
      <c r="B172" s="274">
        <v>0.27263999999999994</v>
      </c>
      <c r="C172" s="274">
        <v>0.34560000000000002</v>
      </c>
      <c r="D172" s="274">
        <v>4.2666666666666666</v>
      </c>
      <c r="E172" s="274">
        <v>0</v>
      </c>
      <c r="F172" s="274">
        <v>0</v>
      </c>
      <c r="G172" s="274">
        <v>0</v>
      </c>
      <c r="H172" s="274">
        <v>0</v>
      </c>
      <c r="I172" s="274">
        <v>0.56495999999999991</v>
      </c>
      <c r="J172" s="275">
        <v>4000</v>
      </c>
      <c r="K172" s="37"/>
      <c r="L172" s="37"/>
      <c r="M172" s="37"/>
      <c r="N172" s="37"/>
      <c r="O172" s="37"/>
      <c r="P172" s="37"/>
      <c r="Q172" s="37"/>
      <c r="R172" s="37"/>
      <c r="S172" s="37"/>
      <c r="T172" s="37"/>
      <c r="U172" s="37"/>
      <c r="V172" s="37"/>
      <c r="W172" s="37"/>
      <c r="X172" s="37"/>
      <c r="Y172" s="37"/>
      <c r="Z172" s="37"/>
      <c r="AA172" s="37"/>
      <c r="AB172" s="37"/>
      <c r="AC172" s="37"/>
      <c r="AD172" s="37"/>
      <c r="AE172" s="37"/>
      <c r="AF172" s="37"/>
    </row>
    <row r="173" spans="1:32" x14ac:dyDescent="0.25">
      <c r="A173" s="134">
        <v>0.91666666666666696</v>
      </c>
      <c r="B173" s="274">
        <v>0.17280000000000001</v>
      </c>
      <c r="C173" s="274">
        <v>0.21840000000000001</v>
      </c>
      <c r="D173" s="274">
        <v>0</v>
      </c>
      <c r="E173" s="274">
        <v>0</v>
      </c>
      <c r="F173" s="274">
        <v>0</v>
      </c>
      <c r="G173" s="274">
        <v>0</v>
      </c>
      <c r="H173" s="274">
        <v>0</v>
      </c>
      <c r="I173" s="274">
        <v>0.3024</v>
      </c>
      <c r="J173" s="275">
        <v>2536</v>
      </c>
      <c r="K173" s="37"/>
      <c r="L173" s="37"/>
      <c r="M173" s="37"/>
      <c r="N173" s="37"/>
      <c r="O173" s="37"/>
      <c r="P173" s="37"/>
      <c r="Q173" s="37"/>
      <c r="R173" s="37"/>
      <c r="S173" s="37"/>
      <c r="T173" s="37"/>
      <c r="U173" s="37"/>
      <c r="V173" s="37"/>
      <c r="W173" s="37"/>
      <c r="X173" s="37"/>
      <c r="Y173" s="37"/>
      <c r="Z173" s="37"/>
      <c r="AA173" s="37"/>
      <c r="AB173" s="37"/>
      <c r="AC173" s="37"/>
      <c r="AD173" s="37"/>
      <c r="AE173" s="37"/>
      <c r="AF173" s="37"/>
    </row>
    <row r="174" spans="1:32" x14ac:dyDescent="0.25">
      <c r="A174" s="135">
        <v>0.9375</v>
      </c>
      <c r="B174" s="274">
        <v>0.17280000000000001</v>
      </c>
      <c r="C174" s="274">
        <v>0.21840000000000001</v>
      </c>
      <c r="D174" s="274">
        <v>0</v>
      </c>
      <c r="E174" s="274">
        <v>0</v>
      </c>
      <c r="F174" s="274">
        <v>0</v>
      </c>
      <c r="G174" s="274">
        <v>0</v>
      </c>
      <c r="H174" s="274">
        <v>0</v>
      </c>
      <c r="I174" s="274">
        <v>0.3024</v>
      </c>
      <c r="J174" s="275">
        <v>2536</v>
      </c>
      <c r="K174" s="37"/>
      <c r="L174" s="37"/>
      <c r="M174" s="37"/>
      <c r="N174" s="37"/>
      <c r="O174" s="37"/>
      <c r="P174" s="37"/>
      <c r="Q174" s="37"/>
      <c r="R174" s="37"/>
      <c r="S174" s="37"/>
      <c r="T174" s="37"/>
      <c r="U174" s="37"/>
      <c r="V174" s="37"/>
      <c r="W174" s="37"/>
      <c r="X174" s="37"/>
      <c r="Y174" s="37"/>
      <c r="Z174" s="37"/>
      <c r="AA174" s="37"/>
      <c r="AB174" s="37"/>
      <c r="AC174" s="37"/>
      <c r="AD174" s="37"/>
      <c r="AE174" s="37"/>
      <c r="AF174" s="37"/>
    </row>
    <row r="175" spans="1:32" x14ac:dyDescent="0.25">
      <c r="A175" s="134">
        <v>0.95833333333333304</v>
      </c>
      <c r="B175" s="274">
        <v>0.17280000000000001</v>
      </c>
      <c r="C175" s="274">
        <v>0.21840000000000001</v>
      </c>
      <c r="D175" s="274">
        <v>0</v>
      </c>
      <c r="E175" s="274">
        <v>0</v>
      </c>
      <c r="F175" s="274">
        <v>0</v>
      </c>
      <c r="G175" s="274">
        <v>0</v>
      </c>
      <c r="H175" s="274">
        <v>0</v>
      </c>
      <c r="I175" s="274">
        <v>0.3024</v>
      </c>
      <c r="J175" s="275">
        <v>2536</v>
      </c>
      <c r="K175" s="37"/>
      <c r="L175" s="37"/>
      <c r="M175" s="37"/>
      <c r="N175" s="37"/>
      <c r="O175" s="37"/>
      <c r="P175" s="37"/>
      <c r="Q175" s="37"/>
      <c r="R175" s="37"/>
      <c r="S175" s="37"/>
      <c r="T175" s="37"/>
      <c r="U175" s="37"/>
      <c r="V175" s="37"/>
      <c r="W175" s="37"/>
      <c r="X175" s="37"/>
      <c r="Y175" s="37"/>
      <c r="Z175" s="37"/>
      <c r="AA175" s="37"/>
      <c r="AB175" s="37"/>
      <c r="AC175" s="37"/>
      <c r="AD175" s="37"/>
      <c r="AE175" s="37"/>
      <c r="AF175" s="37"/>
    </row>
    <row r="176" spans="1:32" ht="15.75" thickBot="1" x14ac:dyDescent="0.3">
      <c r="A176" s="136">
        <v>0.97916666666666696</v>
      </c>
      <c r="B176" s="276">
        <v>0.17280000000000001</v>
      </c>
      <c r="C176" s="276">
        <v>0.21840000000000001</v>
      </c>
      <c r="D176" s="276">
        <v>0</v>
      </c>
      <c r="E176" s="276">
        <v>0</v>
      </c>
      <c r="F176" s="276">
        <v>0</v>
      </c>
      <c r="G176" s="276">
        <v>0</v>
      </c>
      <c r="H176" s="276">
        <v>0</v>
      </c>
      <c r="I176" s="276">
        <v>0.3024</v>
      </c>
      <c r="J176" s="277">
        <v>2536</v>
      </c>
      <c r="K176" s="37"/>
      <c r="L176" s="37"/>
      <c r="M176" s="37"/>
      <c r="N176" s="37"/>
      <c r="O176" s="37"/>
      <c r="P176" s="37"/>
      <c r="Q176" s="37"/>
      <c r="R176" s="37"/>
      <c r="S176" s="37"/>
      <c r="T176" s="37"/>
      <c r="U176" s="37"/>
      <c r="V176" s="37"/>
      <c r="W176" s="37"/>
      <c r="X176" s="37"/>
      <c r="Y176" s="37"/>
      <c r="Z176" s="37"/>
      <c r="AA176" s="37"/>
      <c r="AB176" s="37"/>
      <c r="AC176" s="37"/>
      <c r="AD176" s="37"/>
      <c r="AE176" s="37"/>
      <c r="AF176" s="37"/>
    </row>
    <row r="177" spans="1:32" x14ac:dyDescent="0.25">
      <c r="A177" s="132" t="s">
        <v>1218</v>
      </c>
      <c r="B177" s="278">
        <f>SUM(O2_Schedule2)*0.5</f>
        <v>7.3631999999999946</v>
      </c>
      <c r="C177" s="278">
        <f>SUM(Co2_Schedule2)*0.5</f>
        <v>9.3239999999999963</v>
      </c>
      <c r="D177" s="278">
        <f>SUM(Urine_Schedule2)*0.5</f>
        <v>12.799999999999999</v>
      </c>
      <c r="E177" s="278">
        <f>SUM(Feces_Schedule2)*0.5</f>
        <v>1.1639759999999999</v>
      </c>
      <c r="F177" s="278">
        <f>SUM(Potable_Schedule2)*0.5</f>
        <v>23.087869999999999</v>
      </c>
      <c r="G177" s="278">
        <f>SUM(Hygiene_Schedule2)*0.5</f>
        <v>5.6000000000000005</v>
      </c>
      <c r="H177" s="278">
        <f>SUM(Food_Schedule2)*0.5</f>
        <v>13.31518</v>
      </c>
      <c r="I177" s="278">
        <f>SUM(Sweat_Schedule2)*0.5</f>
        <v>18.620879999999993</v>
      </c>
      <c r="J177" s="278">
        <f>SUM(Heat_Schedule2)*0.5</f>
        <v>105816</v>
      </c>
      <c r="N177" s="37"/>
      <c r="O177" s="37"/>
      <c r="P177" s="37"/>
      <c r="Q177" s="37"/>
      <c r="R177" s="37"/>
      <c r="S177" s="37"/>
      <c r="T177" s="37"/>
      <c r="U177" s="37"/>
      <c r="V177" s="37"/>
      <c r="W177" s="37"/>
      <c r="X177" s="37"/>
      <c r="Y177" s="37"/>
      <c r="Z177" s="37"/>
      <c r="AA177" s="37"/>
      <c r="AB177" s="37"/>
      <c r="AC177" s="37"/>
      <c r="AD177" s="37"/>
      <c r="AE177" s="37"/>
      <c r="AF177" s="37"/>
    </row>
    <row r="178" spans="1:32" x14ac:dyDescent="0.25">
      <c r="B178" s="271"/>
    </row>
    <row r="179" spans="1:32" hidden="1" x14ac:dyDescent="0.25">
      <c r="B179" s="271"/>
    </row>
    <row r="180" spans="1:32" hidden="1" x14ac:dyDescent="0.25">
      <c r="B180" s="271"/>
    </row>
    <row r="181" spans="1:32" hidden="1" x14ac:dyDescent="0.25">
      <c r="B181" s="271"/>
    </row>
    <row r="182" spans="1:32" hidden="1" x14ac:dyDescent="0.25">
      <c r="B182" s="271"/>
    </row>
    <row r="183" spans="1:32" hidden="1" x14ac:dyDescent="0.25">
      <c r="B183" s="271"/>
    </row>
    <row r="184" spans="1:32" hidden="1" x14ac:dyDescent="0.25">
      <c r="B184" s="271"/>
    </row>
    <row r="185" spans="1:32" hidden="1" x14ac:dyDescent="0.25">
      <c r="B185" s="271"/>
    </row>
    <row r="186" spans="1:32" hidden="1" x14ac:dyDescent="0.25">
      <c r="B186" s="271"/>
    </row>
    <row r="187" spans="1:32" hidden="1" x14ac:dyDescent="0.25">
      <c r="B187" s="271"/>
    </row>
    <row r="188" spans="1:32" hidden="1" x14ac:dyDescent="0.25">
      <c r="B188" s="271"/>
    </row>
    <row r="1048575" ht="0.75" customHeight="1" x14ac:dyDescent="0.25"/>
  </sheetData>
  <sheetProtection sheet="1" objects="1" scenarios="1"/>
  <conditionalFormatting sqref="AH51:AH63">
    <cfRule type="colorScale" priority="66">
      <colorScale>
        <cfvo type="min"/>
        <cfvo type="percentile" val="50"/>
        <cfvo type="max"/>
        <color rgb="FF63BE7B"/>
        <color rgb="FFFFEB84"/>
        <color rgb="FFF8696B"/>
      </colorScale>
    </cfRule>
  </conditionalFormatting>
  <conditionalFormatting sqref="AI51:AI63">
    <cfRule type="colorScale" priority="65">
      <colorScale>
        <cfvo type="min"/>
        <cfvo type="percentile" val="50"/>
        <cfvo type="max"/>
        <color rgb="FF63BE7B"/>
        <color rgb="FFFFEB84"/>
        <color rgb="FFF8696B"/>
      </colorScale>
    </cfRule>
  </conditionalFormatting>
  <conditionalFormatting sqref="AJ51:AJ63">
    <cfRule type="colorScale" priority="64">
      <colorScale>
        <cfvo type="min"/>
        <cfvo type="percentile" val="50"/>
        <cfvo type="max"/>
        <color rgb="FF63BE7B"/>
        <color rgb="FFFFEB84"/>
        <color rgb="FFF8696B"/>
      </colorScale>
    </cfRule>
  </conditionalFormatting>
  <conditionalFormatting sqref="AK51:AK63">
    <cfRule type="colorScale" priority="63">
      <colorScale>
        <cfvo type="min"/>
        <cfvo type="percentile" val="50"/>
        <cfvo type="max"/>
        <color rgb="FF63BE7B"/>
        <color rgb="FFFFEB84"/>
        <color rgb="FFF8696B"/>
      </colorScale>
    </cfRule>
  </conditionalFormatting>
  <conditionalFormatting sqref="AR51:AR63">
    <cfRule type="colorScale" priority="62">
      <colorScale>
        <cfvo type="min"/>
        <cfvo type="percentile" val="50"/>
        <cfvo type="max"/>
        <color rgb="FF63BE7B"/>
        <color rgb="FFFFEB84"/>
        <color rgb="FFF8696B"/>
      </colorScale>
    </cfRule>
  </conditionalFormatting>
  <conditionalFormatting sqref="AQ51:AQ63">
    <cfRule type="colorScale" priority="61">
      <colorScale>
        <cfvo type="min"/>
        <cfvo type="percentile" val="50"/>
        <cfvo type="max"/>
        <color rgb="FF63BE7B"/>
        <color rgb="FFFFEB84"/>
        <color rgb="FFF8696B"/>
      </colorScale>
    </cfRule>
  </conditionalFormatting>
  <conditionalFormatting sqref="AP51:AP63">
    <cfRule type="colorScale" priority="60">
      <colorScale>
        <cfvo type="min"/>
        <cfvo type="percentile" val="50"/>
        <cfvo type="max"/>
        <color rgb="FF63BE7B"/>
        <color rgb="FFFFEB84"/>
        <color rgb="FFF8696B"/>
      </colorScale>
    </cfRule>
  </conditionalFormatting>
  <conditionalFormatting sqref="AO51:AO63">
    <cfRule type="colorScale" priority="59">
      <colorScale>
        <cfvo type="min"/>
        <cfvo type="percentile" val="50"/>
        <cfvo type="max"/>
        <color rgb="FF63BE7B"/>
        <color rgb="FFFFEB84"/>
        <color rgb="FFF8696B"/>
      </colorScale>
    </cfRule>
  </conditionalFormatting>
  <conditionalFormatting sqref="AN51:AN63">
    <cfRule type="colorScale" priority="58">
      <colorScale>
        <cfvo type="min"/>
        <cfvo type="percentile" val="50"/>
        <cfvo type="max"/>
        <color rgb="FF63BE7B"/>
        <color rgb="FFFFEB84"/>
        <color rgb="FFF8696B"/>
      </colorScale>
    </cfRule>
  </conditionalFormatting>
  <conditionalFormatting sqref="AL51:AL63">
    <cfRule type="colorScale" priority="57">
      <colorScale>
        <cfvo type="min"/>
        <cfvo type="percentile" val="50"/>
        <cfvo type="max"/>
        <color rgb="FF63BE7B"/>
        <color rgb="FFFFEB84"/>
        <color rgb="FFF8696B"/>
      </colorScale>
    </cfRule>
  </conditionalFormatting>
  <conditionalFormatting sqref="AT51:AT63">
    <cfRule type="colorScale" priority="56">
      <colorScale>
        <cfvo type="min"/>
        <cfvo type="percentile" val="50"/>
        <cfvo type="max"/>
        <color rgb="FF63BE7B"/>
        <color rgb="FFFFEB84"/>
        <color rgb="FFF8696B"/>
      </colorScale>
    </cfRule>
  </conditionalFormatting>
  <conditionalFormatting sqref="AU51:AU63">
    <cfRule type="colorScale" priority="55">
      <colorScale>
        <cfvo type="min"/>
        <cfvo type="percentile" val="50"/>
        <cfvo type="max"/>
        <color rgb="FF63BE7B"/>
        <color rgb="FFFFEB84"/>
        <color rgb="FFF8696B"/>
      </colorScale>
    </cfRule>
  </conditionalFormatting>
  <conditionalFormatting sqref="AV51:AV63">
    <cfRule type="colorScale" priority="54">
      <colorScale>
        <cfvo type="min"/>
        <cfvo type="percentile" val="50"/>
        <cfvo type="max"/>
        <color rgb="FF63BE7B"/>
        <color rgb="FFFFEB84"/>
        <color rgb="FFF8696B"/>
      </colorScale>
    </cfRule>
  </conditionalFormatting>
  <conditionalFormatting sqref="AZ51:AZ63">
    <cfRule type="colorScale" priority="53">
      <colorScale>
        <cfvo type="min"/>
        <cfvo type="percentile" val="50"/>
        <cfvo type="max"/>
        <color rgb="FF63BE7B"/>
        <color rgb="FFFFEB84"/>
        <color rgb="FFF8696B"/>
      </colorScale>
    </cfRule>
  </conditionalFormatting>
  <conditionalFormatting sqref="BA51:BA63">
    <cfRule type="colorScale" priority="52">
      <colorScale>
        <cfvo type="min"/>
        <cfvo type="percentile" val="50"/>
        <cfvo type="max"/>
        <color rgb="FF63BE7B"/>
        <color rgb="FFFFEB84"/>
        <color rgb="FFF8696B"/>
      </colorScale>
    </cfRule>
  </conditionalFormatting>
  <conditionalFormatting sqref="AW51:AW63">
    <cfRule type="colorScale" priority="51">
      <colorScale>
        <cfvo type="min"/>
        <cfvo type="percentile" val="50"/>
        <cfvo type="max"/>
        <color rgb="FF63BE7B"/>
        <color rgb="FFFFEB84"/>
        <color rgb="FFF8696B"/>
      </colorScale>
    </cfRule>
  </conditionalFormatting>
  <conditionalFormatting sqref="AX51:AX63">
    <cfRule type="colorScale" priority="50">
      <colorScale>
        <cfvo type="min"/>
        <cfvo type="percentile" val="50"/>
        <cfvo type="max"/>
        <color rgb="FF63BE7B"/>
        <color rgb="FFFFEB84"/>
        <color rgb="FFF8696B"/>
      </colorScale>
    </cfRule>
  </conditionalFormatting>
  <conditionalFormatting sqref="BB51:BB63">
    <cfRule type="colorScale" priority="49">
      <colorScale>
        <cfvo type="min"/>
        <cfvo type="percentile" val="50"/>
        <cfvo type="max"/>
        <color rgb="FF63BE7B"/>
        <color rgb="FFFFEB84"/>
        <color rgb="FFF8696B"/>
      </colorScale>
    </cfRule>
  </conditionalFormatting>
  <conditionalFormatting sqref="BC51:BC63">
    <cfRule type="colorScale" priority="48">
      <colorScale>
        <cfvo type="min"/>
        <cfvo type="percentile" val="50"/>
        <cfvo type="max"/>
        <color rgb="FF63BE7B"/>
        <color rgb="FFFFEB84"/>
        <color rgb="FFF8696B"/>
      </colorScale>
    </cfRule>
  </conditionalFormatting>
  <conditionalFormatting sqref="BD51:BD63">
    <cfRule type="colorScale" priority="47">
      <colorScale>
        <cfvo type="min"/>
        <cfvo type="percentile" val="50"/>
        <cfvo type="max"/>
        <color rgb="FF63BE7B"/>
        <color rgb="FFFFEB84"/>
        <color rgb="FFF8696B"/>
      </colorScale>
    </cfRule>
  </conditionalFormatting>
  <conditionalFormatting sqref="BF51:BF63">
    <cfRule type="colorScale" priority="46">
      <colorScale>
        <cfvo type="min"/>
        <cfvo type="percentile" val="50"/>
        <cfvo type="max"/>
        <color rgb="FF63BE7B"/>
        <color rgb="FFFFEB84"/>
        <color rgb="FFF8696B"/>
      </colorScale>
    </cfRule>
  </conditionalFormatting>
  <conditionalFormatting sqref="BG51:BG63">
    <cfRule type="colorScale" priority="45">
      <colorScale>
        <cfvo type="min"/>
        <cfvo type="percentile" val="50"/>
        <cfvo type="max"/>
        <color rgb="FF63BE7B"/>
        <color rgb="FFFFEB84"/>
        <color rgb="FFF8696B"/>
      </colorScale>
    </cfRule>
  </conditionalFormatting>
  <conditionalFormatting sqref="BH51:BH63">
    <cfRule type="colorScale" priority="44">
      <colorScale>
        <cfvo type="min"/>
        <cfvo type="percentile" val="50"/>
        <cfvo type="max"/>
        <color rgb="FF63BE7B"/>
        <color rgb="FFFFEB84"/>
        <color rgb="FFF8696B"/>
      </colorScale>
    </cfRule>
  </conditionalFormatting>
  <conditionalFormatting sqref="BI51:BI63">
    <cfRule type="colorScale" priority="43">
      <colorScale>
        <cfvo type="min"/>
        <cfvo type="percentile" val="50"/>
        <cfvo type="max"/>
        <color rgb="FF63BE7B"/>
        <color rgb="FFFFEB84"/>
        <color rgb="FFF8696B"/>
      </colorScale>
    </cfRule>
  </conditionalFormatting>
  <conditionalFormatting sqref="BJ51:BJ63">
    <cfRule type="colorScale" priority="42">
      <colorScale>
        <cfvo type="min"/>
        <cfvo type="percentile" val="50"/>
        <cfvo type="max"/>
        <color rgb="FF63BE7B"/>
        <color rgb="FFFFEB84"/>
        <color rgb="FFF8696B"/>
      </colorScale>
    </cfRule>
  </conditionalFormatting>
  <conditionalFormatting sqref="BL51:BL63">
    <cfRule type="colorScale" priority="41">
      <colorScale>
        <cfvo type="min"/>
        <cfvo type="percentile" val="50"/>
        <cfvo type="max"/>
        <color rgb="FF63BE7B"/>
        <color rgb="FFFFEB84"/>
        <color rgb="FFF8696B"/>
      </colorScale>
    </cfRule>
  </conditionalFormatting>
  <conditionalFormatting sqref="BM51:BM63">
    <cfRule type="colorScale" priority="40">
      <colorScale>
        <cfvo type="min"/>
        <cfvo type="percentile" val="50"/>
        <cfvo type="max"/>
        <color rgb="FF63BE7B"/>
        <color rgb="FFFFEB84"/>
        <color rgb="FFF8696B"/>
      </colorScale>
    </cfRule>
  </conditionalFormatting>
  <conditionalFormatting sqref="BN51:BN63">
    <cfRule type="colorScale" priority="39">
      <colorScale>
        <cfvo type="min"/>
        <cfvo type="percentile" val="50"/>
        <cfvo type="max"/>
        <color rgb="FF63BE7B"/>
        <color rgb="FFFFEB84"/>
        <color rgb="FFF8696B"/>
      </colorScale>
    </cfRule>
  </conditionalFormatting>
  <conditionalFormatting sqref="BO51:BO63">
    <cfRule type="colorScale" priority="38">
      <colorScale>
        <cfvo type="min"/>
        <cfvo type="percentile" val="50"/>
        <cfvo type="max"/>
        <color rgb="FF63BE7B"/>
        <color rgb="FFFFEB84"/>
        <color rgb="FFF8696B"/>
      </colorScale>
    </cfRule>
  </conditionalFormatting>
  <conditionalFormatting sqref="BP51:BP63">
    <cfRule type="colorScale" priority="37">
      <colorScale>
        <cfvo type="min"/>
        <cfvo type="percentile" val="50"/>
        <cfvo type="max"/>
        <color rgb="FF63BE7B"/>
        <color rgb="FFFFEB84"/>
        <color rgb="FFF8696B"/>
      </colorScale>
    </cfRule>
  </conditionalFormatting>
  <conditionalFormatting sqref="AH3:BP50">
    <cfRule type="cellIs" dxfId="26" priority="434" operator="equal">
      <formula>$N$14</formula>
    </cfRule>
    <cfRule type="cellIs" dxfId="25" priority="435" operator="equal">
      <formula>$N$13</formula>
    </cfRule>
    <cfRule type="cellIs" dxfId="24" priority="436" operator="equal">
      <formula>$N$12</formula>
    </cfRule>
    <cfRule type="cellIs" dxfId="23" priority="437" operator="equal">
      <formula>$N$11</formula>
    </cfRule>
    <cfRule type="cellIs" dxfId="22" priority="438" operator="equal">
      <formula>$N$10</formula>
    </cfRule>
    <cfRule type="cellIs" dxfId="21" priority="439" operator="equal">
      <formula>$N$8</formula>
    </cfRule>
    <cfRule type="cellIs" dxfId="20" priority="440" operator="equal">
      <formula>$N$7</formula>
    </cfRule>
    <cfRule type="cellIs" dxfId="19" priority="441" operator="equal">
      <formula>$N$6</formula>
    </cfRule>
    <cfRule type="cellIs" dxfId="18" priority="442" operator="equal">
      <formula>$N$5</formula>
    </cfRule>
    <cfRule type="cellIs" dxfId="17" priority="443" operator="equal">
      <formula>$N$4</formula>
    </cfRule>
    <cfRule type="cellIs" dxfId="16" priority="444" operator="equal">
      <formula>$N$3</formula>
    </cfRule>
  </conditionalFormatting>
  <conditionalFormatting sqref="B3:L50">
    <cfRule type="expression" dxfId="15" priority="445">
      <formula>OR($B3=$N$12,$B3=$N$13,$B3=$N$14)</formula>
    </cfRule>
    <cfRule type="expression" dxfId="14" priority="446">
      <formula>$B3=$N$11</formula>
    </cfRule>
    <cfRule type="expression" dxfId="13" priority="447">
      <formula>$B3=$N$10</formula>
    </cfRule>
    <cfRule type="expression" dxfId="12" priority="448">
      <formula>$B3=$N$8</formula>
    </cfRule>
    <cfRule type="expression" dxfId="11" priority="449">
      <formula>$B3=$N$7</formula>
    </cfRule>
    <cfRule type="expression" dxfId="10" priority="450">
      <formula>$B3=$N$6</formula>
    </cfRule>
    <cfRule type="expression" dxfId="9" priority="451">
      <formula>OR($B3=$N$4,$B3=$N$5)</formula>
    </cfRule>
    <cfRule type="expression" dxfId="8" priority="452">
      <formula>$B3=$N$3</formula>
    </cfRule>
  </conditionalFormatting>
  <conditionalFormatting sqref="B129:J176">
    <cfRule type="expression" dxfId="7" priority="453">
      <formula>OR(#REF!=$N$12,#REF!=$N$13,#REF!=$N$14)</formula>
    </cfRule>
    <cfRule type="expression" dxfId="6" priority="454">
      <formula>#REF!=$N$11</formula>
    </cfRule>
    <cfRule type="expression" dxfId="5" priority="455">
      <formula>#REF!=$N$10</formula>
    </cfRule>
    <cfRule type="expression" dxfId="4" priority="456">
      <formula>#REF!=$N$8</formula>
    </cfRule>
    <cfRule type="expression" dxfId="3" priority="457">
      <formula>#REF!=$N$7</formula>
    </cfRule>
    <cfRule type="expression" dxfId="2" priority="458">
      <formula>#REF!=$N$6</formula>
    </cfRule>
    <cfRule type="expression" dxfId="1" priority="459">
      <formula>OR(#REF!=$N$4,#REF!=$N$5)</formula>
    </cfRule>
    <cfRule type="expression" dxfId="0" priority="460">
      <formula>#REF!=$N$3</formula>
    </cfRule>
  </conditionalFormatting>
  <pageMargins left="0.7" right="0.7" top="0.78740157499999996" bottom="0.78740157499999996" header="0.3" footer="0.3"/>
  <pageSetup paperSize="9" scale="1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814" r:id="rId4" name="Compose Schedule">
              <controlPr defaultSize="0" print="0" autoFill="0" autoPict="0" macro="[0]!Tabelle3.ComposeUserSchedule">
                <anchor moveWithCells="1" sizeWithCells="1">
                  <from>
                    <xdr:col>0</xdr:col>
                    <xdr:colOff>0</xdr:colOff>
                    <xdr:row>54</xdr:row>
                    <xdr:rowOff>9525</xdr:rowOff>
                  </from>
                  <to>
                    <xdr:col>1</xdr:col>
                    <xdr:colOff>304800</xdr:colOff>
                    <xdr:row>56</xdr:row>
                    <xdr:rowOff>9525</xdr:rowOff>
                  </to>
                </anchor>
              </controlPr>
            </control>
          </mc:Choice>
        </mc:AlternateContent>
        <mc:AlternateContent xmlns:mc="http://schemas.openxmlformats.org/markup-compatibility/2006">
          <mc:Choice Requires="x14">
            <control shapeId="79835" r:id="rId5" name="Check Schedule">
              <controlPr defaultSize="0" print="0" autoFill="0" autoPict="0" macro="[0]!Tabelle3.CheckSchedule">
                <anchor moveWithCells="1" sizeWithCells="1">
                  <from>
                    <xdr:col>1</xdr:col>
                    <xdr:colOff>333375</xdr:colOff>
                    <xdr:row>54</xdr:row>
                    <xdr:rowOff>9525</xdr:rowOff>
                  </from>
                  <to>
                    <xdr:col>2</xdr:col>
                    <xdr:colOff>638175</xdr:colOff>
                    <xdr:row>56</xdr:row>
                    <xdr:rowOff>9525</xdr:rowOff>
                  </to>
                </anchor>
              </controlPr>
            </control>
          </mc:Choice>
        </mc:AlternateContent>
        <mc:AlternateContent xmlns:mc="http://schemas.openxmlformats.org/markup-compatibility/2006">
          <mc:Choice Requires="x14">
            <control shapeId="81837" r:id="rId6" name="Information_schedule">
              <controlPr defaultSize="0" print="0" autoFill="0" autoPict="0" macro="[0]!info_schedule">
                <anchor moveWithCells="1" sizeWithCells="1">
                  <from>
                    <xdr:col>12</xdr:col>
                    <xdr:colOff>419100</xdr:colOff>
                    <xdr:row>0</xdr:row>
                    <xdr:rowOff>219075</xdr:rowOff>
                  </from>
                  <to>
                    <xdr:col>12</xdr:col>
                    <xdr:colOff>1562100</xdr:colOff>
                    <xdr:row>0</xdr:row>
                    <xdr:rowOff>600075</xdr:rowOff>
                  </to>
                </anchor>
              </controlPr>
            </control>
          </mc:Choice>
        </mc:AlternateContent>
        <mc:AlternateContent xmlns:mc="http://schemas.openxmlformats.org/markup-compatibility/2006">
          <mc:Choice Requires="x14">
            <control shapeId="87305" r:id="rId7" name="Check Inputs">
              <controlPr defaultSize="0" print="0" autoFill="0" autoPict="0" macro="[0]!Tabelle3.idschedulecheck">
                <anchor moveWithCells="1" sizeWithCells="1">
                  <from>
                    <xdr:col>1</xdr:col>
                    <xdr:colOff>904875</xdr:colOff>
                    <xdr:row>124</xdr:row>
                    <xdr:rowOff>66675</xdr:rowOff>
                  </from>
                  <to>
                    <xdr:col>3</xdr:col>
                    <xdr:colOff>180975</xdr:colOff>
                    <xdr:row>126</xdr:row>
                    <xdr:rowOff>66675</xdr:rowOff>
                  </to>
                </anchor>
              </controlPr>
            </control>
          </mc:Choice>
        </mc:AlternateContent>
        <mc:AlternateContent xmlns:mc="http://schemas.openxmlformats.org/markup-compatibility/2006">
          <mc:Choice Requires="x14">
            <control shapeId="103256" r:id="rId8" name="Button 16216">
              <controlPr defaultSize="0" print="0" autoFill="0" autoPict="0" macro="[0]!info_schedule">
                <anchor moveWithCells="1" sizeWithCells="1">
                  <from>
                    <xdr:col>4</xdr:col>
                    <xdr:colOff>266700</xdr:colOff>
                    <xdr:row>54</xdr:row>
                    <xdr:rowOff>9525</xdr:rowOff>
                  </from>
                  <to>
                    <xdr:col>5</xdr:col>
                    <xdr:colOff>390525</xdr:colOff>
                    <xdr:row>56</xdr:row>
                    <xdr:rowOff>9525</xdr:rowOff>
                  </to>
                </anchor>
              </controlPr>
            </control>
          </mc:Choice>
        </mc:AlternateContent>
        <mc:AlternateContent xmlns:mc="http://schemas.openxmlformats.org/markup-compatibility/2006">
          <mc:Choice Requires="x14">
            <control shapeId="103257" r:id="rId9" name="Button 16217">
              <controlPr defaultSize="0" print="0" autoFill="0" autoPict="0" macro="[0]!Tabelle3.CalculateUserScheduleMetabolicValues">
                <anchor moveWithCells="1" sizeWithCells="1">
                  <from>
                    <xdr:col>2</xdr:col>
                    <xdr:colOff>647700</xdr:colOff>
                    <xdr:row>54</xdr:row>
                    <xdr:rowOff>9525</xdr:rowOff>
                  </from>
                  <to>
                    <xdr:col>4</xdr:col>
                    <xdr:colOff>257175</xdr:colOff>
                    <xdr:row>56</xdr:row>
                    <xdr:rowOff>9525</xdr:rowOff>
                  </to>
                </anchor>
              </controlPr>
            </control>
          </mc:Choice>
        </mc:AlternateContent>
      </controls>
    </mc:Choice>
  </mc:AlternateContent>
  <tableParts count="2">
    <tablePart r:id="rId10"/>
    <tablePart r:id="rId11"/>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0"/>
  <dimension ref="A1:K77"/>
  <sheetViews>
    <sheetView zoomScale="60" zoomScaleNormal="60" workbookViewId="0">
      <selection activeCell="E28" sqref="E28"/>
    </sheetView>
  </sheetViews>
  <sheetFormatPr defaultColWidth="23.28515625" defaultRowHeight="15" x14ac:dyDescent="0.25"/>
  <cols>
    <col min="1" max="1" width="14.7109375" style="39" bestFit="1" customWidth="1"/>
    <col min="2" max="2" width="120.85546875" style="39" customWidth="1"/>
    <col min="3" max="3" width="26.85546875" style="39" customWidth="1"/>
    <col min="4" max="4" width="21.140625" style="39" bestFit="1" customWidth="1"/>
    <col min="5" max="5" width="22.85546875" style="39" customWidth="1"/>
    <col min="6" max="7" width="23.28515625" style="39"/>
    <col min="8" max="8" width="13" style="39" bestFit="1" customWidth="1"/>
    <col min="9" max="16384" width="23.28515625" style="39"/>
  </cols>
  <sheetData>
    <row r="1" spans="1:8" x14ac:dyDescent="0.25">
      <c r="A1" s="39" t="s">
        <v>1379</v>
      </c>
      <c r="B1" s="39" t="s">
        <v>1378</v>
      </c>
      <c r="C1" s="39" t="s">
        <v>1377</v>
      </c>
      <c r="D1" s="39" t="s">
        <v>1376</v>
      </c>
      <c r="H1" s="39" t="s">
        <v>1375</v>
      </c>
    </row>
    <row r="2" spans="1:8" x14ac:dyDescent="0.25">
      <c r="A2" s="39">
        <v>1</v>
      </c>
      <c r="B2" s="39" t="s">
        <v>1374</v>
      </c>
      <c r="C2" s="39" t="s">
        <v>1370</v>
      </c>
      <c r="D2" s="39">
        <v>1996</v>
      </c>
      <c r="H2" s="39" t="s">
        <v>67</v>
      </c>
    </row>
    <row r="3" spans="1:8" x14ac:dyDescent="0.25">
      <c r="A3" s="39">
        <v>2</v>
      </c>
      <c r="B3" s="39" t="s">
        <v>1373</v>
      </c>
      <c r="C3" s="39" t="s">
        <v>1372</v>
      </c>
      <c r="H3" s="39" t="s">
        <v>35</v>
      </c>
    </row>
    <row r="4" spans="1:8" x14ac:dyDescent="0.25">
      <c r="A4" s="39">
        <v>3</v>
      </c>
      <c r="B4" s="39" t="s">
        <v>1371</v>
      </c>
      <c r="C4" s="39" t="s">
        <v>1370</v>
      </c>
      <c r="D4" s="39">
        <v>1999</v>
      </c>
      <c r="H4" s="39" t="s">
        <v>26</v>
      </c>
    </row>
    <row r="5" spans="1:8" x14ac:dyDescent="0.25">
      <c r="A5" s="39">
        <v>4</v>
      </c>
      <c r="B5" s="39" t="s">
        <v>1369</v>
      </c>
    </row>
    <row r="6" spans="1:8" x14ac:dyDescent="0.25">
      <c r="A6" s="39">
        <v>5</v>
      </c>
      <c r="B6" s="39" t="s">
        <v>1368</v>
      </c>
    </row>
    <row r="7" spans="1:8" x14ac:dyDescent="0.25">
      <c r="A7" s="39">
        <v>6</v>
      </c>
      <c r="B7" s="39" t="s">
        <v>1367</v>
      </c>
    </row>
    <row r="8" spans="1:8" x14ac:dyDescent="0.25">
      <c r="A8" s="39">
        <v>7</v>
      </c>
      <c r="B8" s="39" t="s">
        <v>1366</v>
      </c>
    </row>
    <row r="9" spans="1:8" x14ac:dyDescent="0.25">
      <c r="A9" s="39">
        <v>8</v>
      </c>
      <c r="B9" s="39" t="s">
        <v>1365</v>
      </c>
      <c r="C9" s="39" t="s">
        <v>1281</v>
      </c>
      <c r="D9" s="39">
        <v>2014</v>
      </c>
      <c r="E9" s="39" t="s">
        <v>1364</v>
      </c>
    </row>
    <row r="10" spans="1:8" x14ac:dyDescent="0.25">
      <c r="A10" s="39">
        <v>9</v>
      </c>
      <c r="B10" s="39" t="s">
        <v>1363</v>
      </c>
      <c r="C10" s="39" t="s">
        <v>1362</v>
      </c>
      <c r="D10" s="39">
        <v>1999</v>
      </c>
    </row>
    <row r="11" spans="1:8" x14ac:dyDescent="0.25">
      <c r="A11" s="227">
        <v>10</v>
      </c>
      <c r="B11" s="227" t="s">
        <v>1361</v>
      </c>
      <c r="C11" s="39" t="s">
        <v>1281</v>
      </c>
      <c r="D11" s="39">
        <v>2015</v>
      </c>
    </row>
    <row r="12" spans="1:8" x14ac:dyDescent="0.25">
      <c r="A12" s="39">
        <v>11</v>
      </c>
      <c r="B12" s="39" t="s">
        <v>1360</v>
      </c>
      <c r="C12" s="39" t="s">
        <v>1281</v>
      </c>
      <c r="D12" s="39">
        <v>2004</v>
      </c>
    </row>
    <row r="13" spans="1:8" x14ac:dyDescent="0.25">
      <c r="A13" s="39">
        <v>12</v>
      </c>
      <c r="B13" s="39" t="s">
        <v>1359</v>
      </c>
      <c r="C13" s="39" t="s">
        <v>1358</v>
      </c>
      <c r="D13" s="39">
        <v>2009</v>
      </c>
    </row>
    <row r="14" spans="1:8" x14ac:dyDescent="0.25">
      <c r="A14" s="39">
        <v>13</v>
      </c>
      <c r="B14" s="39" t="s">
        <v>1357</v>
      </c>
      <c r="C14" s="39" t="s">
        <v>1356</v>
      </c>
      <c r="D14" s="39">
        <v>2015</v>
      </c>
    </row>
    <row r="15" spans="1:8" x14ac:dyDescent="0.25">
      <c r="A15" s="39">
        <v>14</v>
      </c>
      <c r="B15" s="39" t="s">
        <v>1355</v>
      </c>
      <c r="C15" s="39" t="s">
        <v>1354</v>
      </c>
      <c r="D15" s="39">
        <v>2006</v>
      </c>
    </row>
    <row r="16" spans="1:8" x14ac:dyDescent="0.25">
      <c r="A16" s="39">
        <v>15</v>
      </c>
      <c r="B16" s="39" t="s">
        <v>1353</v>
      </c>
      <c r="C16" s="39" t="s">
        <v>1281</v>
      </c>
      <c r="D16" s="39">
        <v>2015</v>
      </c>
    </row>
    <row r="17" spans="1:11" x14ac:dyDescent="0.25">
      <c r="A17" s="39">
        <v>16</v>
      </c>
      <c r="B17" s="39" t="s">
        <v>1352</v>
      </c>
      <c r="C17" s="39" t="s">
        <v>1281</v>
      </c>
      <c r="D17" s="231" t="s">
        <v>1351</v>
      </c>
    </row>
    <row r="18" spans="1:11" x14ac:dyDescent="0.25">
      <c r="A18" s="39">
        <v>17</v>
      </c>
      <c r="B18" s="39" t="s">
        <v>1350</v>
      </c>
      <c r="C18" s="39" t="s">
        <v>1281</v>
      </c>
      <c r="D18" s="39">
        <v>1995</v>
      </c>
    </row>
    <row r="19" spans="1:11" x14ac:dyDescent="0.25">
      <c r="A19" s="39">
        <v>18</v>
      </c>
      <c r="B19" s="39" t="s">
        <v>1349</v>
      </c>
      <c r="C19" s="39" t="s">
        <v>1281</v>
      </c>
      <c r="D19" s="39">
        <v>2015</v>
      </c>
    </row>
    <row r="20" spans="1:11" x14ac:dyDescent="0.25">
      <c r="A20" s="39">
        <v>19</v>
      </c>
      <c r="B20" s="39" t="s">
        <v>1348</v>
      </c>
      <c r="C20" s="39" t="s">
        <v>1347</v>
      </c>
      <c r="D20" s="39" t="s">
        <v>1346</v>
      </c>
    </row>
    <row r="21" spans="1:11" x14ac:dyDescent="0.25">
      <c r="A21" s="39">
        <v>20</v>
      </c>
      <c r="B21" s="39" t="s">
        <v>1345</v>
      </c>
      <c r="C21" s="39" t="s">
        <v>1344</v>
      </c>
      <c r="D21" s="39">
        <v>1980</v>
      </c>
    </row>
    <row r="22" spans="1:11" x14ac:dyDescent="0.25">
      <c r="A22" s="39">
        <v>21</v>
      </c>
      <c r="B22" s="39" t="s">
        <v>1343</v>
      </c>
      <c r="C22" s="39" t="s">
        <v>1281</v>
      </c>
      <c r="D22" s="39" t="s">
        <v>1342</v>
      </c>
      <c r="K22" s="230"/>
    </row>
    <row r="23" spans="1:11" x14ac:dyDescent="0.25">
      <c r="A23" s="39">
        <v>22</v>
      </c>
      <c r="B23" s="39" t="s">
        <v>1341</v>
      </c>
      <c r="C23" s="39" t="s">
        <v>1281</v>
      </c>
      <c r="D23" s="39">
        <v>2005</v>
      </c>
      <c r="K23" s="229"/>
    </row>
    <row r="24" spans="1:11" x14ac:dyDescent="0.25">
      <c r="A24" s="227">
        <v>23</v>
      </c>
      <c r="B24" s="227" t="s">
        <v>1340</v>
      </c>
      <c r="C24" s="39" t="s">
        <v>1281</v>
      </c>
      <c r="D24" s="39">
        <v>1998</v>
      </c>
    </row>
    <row r="25" spans="1:11" x14ac:dyDescent="0.25">
      <c r="A25" s="39">
        <v>24</v>
      </c>
      <c r="B25" s="39" t="s">
        <v>1339</v>
      </c>
      <c r="C25" s="39" t="s">
        <v>1281</v>
      </c>
      <c r="D25" s="39">
        <v>2016</v>
      </c>
    </row>
    <row r="26" spans="1:11" x14ac:dyDescent="0.25">
      <c r="A26" s="39">
        <v>25</v>
      </c>
      <c r="B26" s="39" t="s">
        <v>1338</v>
      </c>
      <c r="C26" s="39" t="s">
        <v>1296</v>
      </c>
      <c r="D26" s="39">
        <v>1988</v>
      </c>
    </row>
    <row r="27" spans="1:11" x14ac:dyDescent="0.25">
      <c r="A27" s="39">
        <v>26</v>
      </c>
      <c r="B27" s="39" t="s">
        <v>1337</v>
      </c>
      <c r="C27" s="39" t="s">
        <v>1281</v>
      </c>
      <c r="D27" s="39">
        <v>1994</v>
      </c>
    </row>
    <row r="28" spans="1:11" x14ac:dyDescent="0.25">
      <c r="A28" s="39">
        <v>27</v>
      </c>
      <c r="B28" s="39" t="s">
        <v>1336</v>
      </c>
      <c r="C28" s="39" t="s">
        <v>1335</v>
      </c>
      <c r="D28" s="39">
        <v>2013</v>
      </c>
    </row>
    <row r="29" spans="1:11" x14ac:dyDescent="0.25">
      <c r="A29" s="39">
        <v>28</v>
      </c>
      <c r="B29" s="39" t="s">
        <v>1334</v>
      </c>
      <c r="C29" s="39" t="s">
        <v>1333</v>
      </c>
      <c r="D29" s="39" t="s">
        <v>1332</v>
      </c>
    </row>
    <row r="30" spans="1:11" x14ac:dyDescent="0.25">
      <c r="A30" s="39">
        <v>29</v>
      </c>
      <c r="B30" s="39" t="s">
        <v>1331</v>
      </c>
      <c r="C30" s="228" t="s">
        <v>1330</v>
      </c>
      <c r="D30" s="39">
        <v>2010</v>
      </c>
    </row>
    <row r="31" spans="1:11" x14ac:dyDescent="0.25">
      <c r="A31" s="39">
        <v>30</v>
      </c>
      <c r="B31" s="39" t="s">
        <v>1329</v>
      </c>
      <c r="C31" s="39" t="s">
        <v>1281</v>
      </c>
      <c r="D31" s="39">
        <v>2008</v>
      </c>
    </row>
    <row r="32" spans="1:11" x14ac:dyDescent="0.25">
      <c r="A32" s="39">
        <v>31</v>
      </c>
      <c r="B32" s="39" t="s">
        <v>1328</v>
      </c>
      <c r="C32" s="39" t="s">
        <v>1281</v>
      </c>
      <c r="D32" s="39">
        <v>2003</v>
      </c>
    </row>
    <row r="33" spans="1:4" x14ac:dyDescent="0.25">
      <c r="A33" s="39">
        <v>32</v>
      </c>
      <c r="B33" s="39" t="s">
        <v>1327</v>
      </c>
      <c r="C33" s="39" t="s">
        <v>1281</v>
      </c>
      <c r="D33" s="39">
        <v>2007</v>
      </c>
    </row>
    <row r="34" spans="1:4" x14ac:dyDescent="0.25">
      <c r="A34" s="39">
        <v>33</v>
      </c>
      <c r="B34" s="39" t="s">
        <v>1326</v>
      </c>
      <c r="C34" s="39" t="s">
        <v>1325</v>
      </c>
      <c r="D34" s="39">
        <v>1998</v>
      </c>
    </row>
    <row r="35" spans="1:4" x14ac:dyDescent="0.25">
      <c r="A35" s="39">
        <v>34</v>
      </c>
      <c r="B35" s="39" t="s">
        <v>1324</v>
      </c>
      <c r="C35" s="39" t="s">
        <v>1322</v>
      </c>
      <c r="D35" s="39">
        <v>2001</v>
      </c>
    </row>
    <row r="36" spans="1:4" x14ac:dyDescent="0.25">
      <c r="A36" s="39">
        <v>35</v>
      </c>
      <c r="B36" s="4" t="s">
        <v>1323</v>
      </c>
      <c r="C36" s="39" t="s">
        <v>1322</v>
      </c>
      <c r="D36" s="39">
        <v>2001</v>
      </c>
    </row>
    <row r="37" spans="1:4" x14ac:dyDescent="0.25">
      <c r="A37" s="39">
        <v>36</v>
      </c>
      <c r="B37" s="39" t="s">
        <v>1321</v>
      </c>
      <c r="C37" s="39" t="s">
        <v>1281</v>
      </c>
      <c r="D37" s="39">
        <v>2016</v>
      </c>
    </row>
    <row r="38" spans="1:4" x14ac:dyDescent="0.25">
      <c r="A38" s="39">
        <v>37</v>
      </c>
      <c r="B38" s="39" t="s">
        <v>1320</v>
      </c>
      <c r="C38" s="39" t="s">
        <v>1281</v>
      </c>
      <c r="D38" s="39">
        <v>2009</v>
      </c>
    </row>
    <row r="39" spans="1:4" x14ac:dyDescent="0.25">
      <c r="A39" s="39">
        <v>38</v>
      </c>
      <c r="B39" s="39" t="s">
        <v>1319</v>
      </c>
      <c r="C39" s="39" t="s">
        <v>1281</v>
      </c>
      <c r="D39" s="39">
        <v>2015</v>
      </c>
    </row>
    <row r="40" spans="1:4" x14ac:dyDescent="0.25">
      <c r="A40" s="39">
        <v>39</v>
      </c>
      <c r="B40" s="39" t="s">
        <v>1318</v>
      </c>
      <c r="C40" s="39" t="s">
        <v>1317</v>
      </c>
      <c r="D40" s="39">
        <v>1999</v>
      </c>
    </row>
    <row r="41" spans="1:4" x14ac:dyDescent="0.25">
      <c r="A41" s="39">
        <v>40</v>
      </c>
      <c r="B41" s="39" t="s">
        <v>1316</v>
      </c>
      <c r="C41" s="39" t="s">
        <v>1281</v>
      </c>
      <c r="D41" s="39">
        <v>1993</v>
      </c>
    </row>
    <row r="42" spans="1:4" x14ac:dyDescent="0.25">
      <c r="A42" s="39">
        <v>41</v>
      </c>
      <c r="B42" s="39" t="s">
        <v>1315</v>
      </c>
      <c r="C42" s="39" t="s">
        <v>1314</v>
      </c>
      <c r="D42" s="39">
        <v>2009</v>
      </c>
    </row>
    <row r="43" spans="1:4" x14ac:dyDescent="0.25">
      <c r="A43" s="39">
        <v>42</v>
      </c>
      <c r="B43" s="39" t="s">
        <v>1313</v>
      </c>
      <c r="C43" s="39" t="s">
        <v>1281</v>
      </c>
      <c r="D43" s="39">
        <v>2016</v>
      </c>
    </row>
    <row r="44" spans="1:4" ht="14.25" customHeight="1" x14ac:dyDescent="0.25">
      <c r="A44" s="39">
        <v>43</v>
      </c>
      <c r="B44" s="39" t="s">
        <v>1312</v>
      </c>
      <c r="C44" s="4" t="s">
        <v>1311</v>
      </c>
      <c r="D44" s="39">
        <v>2016</v>
      </c>
    </row>
    <row r="45" spans="1:4" x14ac:dyDescent="0.25">
      <c r="A45" s="39">
        <v>44</v>
      </c>
      <c r="B45" s="39" t="s">
        <v>1310</v>
      </c>
      <c r="C45" s="39" t="s">
        <v>1281</v>
      </c>
      <c r="D45" s="39">
        <v>2016</v>
      </c>
    </row>
    <row r="46" spans="1:4" x14ac:dyDescent="0.25">
      <c r="A46" s="39">
        <v>45</v>
      </c>
      <c r="B46" s="39" t="s">
        <v>1309</v>
      </c>
      <c r="C46" s="39" t="s">
        <v>1308</v>
      </c>
      <c r="D46" s="39">
        <v>2014</v>
      </c>
    </row>
    <row r="47" spans="1:4" x14ac:dyDescent="0.25">
      <c r="A47" s="39">
        <v>46</v>
      </c>
      <c r="B47" s="39" t="s">
        <v>1307</v>
      </c>
      <c r="C47" s="39" t="s">
        <v>1296</v>
      </c>
      <c r="D47" s="39">
        <v>1997</v>
      </c>
    </row>
    <row r="48" spans="1:4" x14ac:dyDescent="0.25">
      <c r="A48" s="39">
        <v>47</v>
      </c>
      <c r="B48" s="39" t="s">
        <v>1306</v>
      </c>
      <c r="C48" s="39" t="s">
        <v>1281</v>
      </c>
      <c r="D48" s="39">
        <v>1988</v>
      </c>
    </row>
    <row r="49" spans="1:4" x14ac:dyDescent="0.25">
      <c r="A49" s="227">
        <v>48</v>
      </c>
      <c r="B49" s="227" t="s">
        <v>1305</v>
      </c>
      <c r="C49" s="39" t="s">
        <v>1281</v>
      </c>
      <c r="D49" s="39">
        <v>2016</v>
      </c>
    </row>
    <row r="50" spans="1:4" x14ac:dyDescent="0.25">
      <c r="A50" s="39">
        <v>49</v>
      </c>
      <c r="B50" s="39" t="s">
        <v>1304</v>
      </c>
      <c r="C50" s="39" t="s">
        <v>1303</v>
      </c>
      <c r="D50" s="39">
        <v>2014</v>
      </c>
    </row>
    <row r="51" spans="1:4" x14ac:dyDescent="0.25">
      <c r="A51" s="39">
        <v>50</v>
      </c>
      <c r="B51" s="39" t="s">
        <v>1302</v>
      </c>
      <c r="C51" s="39" t="s">
        <v>1301</v>
      </c>
      <c r="D51" s="39">
        <v>2014</v>
      </c>
    </row>
    <row r="52" spans="1:4" x14ac:dyDescent="0.25">
      <c r="A52" s="227">
        <v>51</v>
      </c>
      <c r="B52" s="227" t="s">
        <v>1300</v>
      </c>
      <c r="C52" s="39" t="s">
        <v>1299</v>
      </c>
      <c r="D52" s="39">
        <v>1970</v>
      </c>
    </row>
    <row r="53" spans="1:4" x14ac:dyDescent="0.25">
      <c r="A53" s="39">
        <v>52</v>
      </c>
      <c r="B53" s="39" t="s">
        <v>1298</v>
      </c>
      <c r="C53" s="39" t="s">
        <v>1281</v>
      </c>
      <c r="D53" s="39">
        <v>1973</v>
      </c>
    </row>
    <row r="54" spans="1:4" x14ac:dyDescent="0.25">
      <c r="A54" s="39">
        <v>53</v>
      </c>
      <c r="B54" s="39" t="s">
        <v>1297</v>
      </c>
      <c r="C54" s="226" t="s">
        <v>1296</v>
      </c>
      <c r="D54" s="39">
        <v>1974</v>
      </c>
    </row>
    <row r="55" spans="1:4" x14ac:dyDescent="0.25">
      <c r="A55" s="39">
        <v>54</v>
      </c>
      <c r="B55" s="39" t="s">
        <v>1295</v>
      </c>
      <c r="C55" s="39" t="s">
        <v>1281</v>
      </c>
      <c r="D55" s="39">
        <v>1973</v>
      </c>
    </row>
    <row r="56" spans="1:4" x14ac:dyDescent="0.25">
      <c r="A56" s="39">
        <v>55</v>
      </c>
      <c r="B56" s="39" t="s">
        <v>1294</v>
      </c>
      <c r="C56" s="39" t="s">
        <v>1293</v>
      </c>
      <c r="D56" s="39">
        <v>2010</v>
      </c>
    </row>
    <row r="57" spans="1:4" x14ac:dyDescent="0.25">
      <c r="A57" s="39">
        <v>56</v>
      </c>
      <c r="B57" s="39" t="s">
        <v>1292</v>
      </c>
      <c r="C57" s="39" t="s">
        <v>1291</v>
      </c>
      <c r="D57" s="39">
        <v>2017</v>
      </c>
    </row>
    <row r="58" spans="1:4" x14ac:dyDescent="0.25">
      <c r="A58" s="39">
        <v>57</v>
      </c>
      <c r="B58" s="39" t="s">
        <v>1290</v>
      </c>
      <c r="C58" s="39" t="s">
        <v>1288</v>
      </c>
      <c r="D58" s="39">
        <v>2016</v>
      </c>
    </row>
    <row r="59" spans="1:4" x14ac:dyDescent="0.25">
      <c r="A59" s="39">
        <v>58</v>
      </c>
      <c r="B59" s="39" t="s">
        <v>1289</v>
      </c>
      <c r="C59" s="39" t="s">
        <v>1288</v>
      </c>
      <c r="D59" s="39">
        <v>2015</v>
      </c>
    </row>
    <row r="60" spans="1:4" x14ac:dyDescent="0.25">
      <c r="A60" s="39">
        <v>59</v>
      </c>
      <c r="B60" s="39" t="s">
        <v>1287</v>
      </c>
      <c r="C60" s="39" t="s">
        <v>1281</v>
      </c>
      <c r="D60" s="39">
        <v>2005</v>
      </c>
    </row>
    <row r="61" spans="1:4" x14ac:dyDescent="0.25">
      <c r="A61" s="39">
        <v>60</v>
      </c>
      <c r="B61" s="39" t="s">
        <v>1286</v>
      </c>
      <c r="C61" s="39" t="s">
        <v>1281</v>
      </c>
      <c r="D61" s="39">
        <v>2010</v>
      </c>
    </row>
    <row r="62" spans="1:4" x14ac:dyDescent="0.25">
      <c r="A62" s="39">
        <v>61</v>
      </c>
      <c r="B62" s="39" t="s">
        <v>1285</v>
      </c>
      <c r="C62" s="39" t="s">
        <v>1284</v>
      </c>
      <c r="D62" s="39">
        <v>2012</v>
      </c>
    </row>
    <row r="63" spans="1:4" x14ac:dyDescent="0.25">
      <c r="A63" s="39">
        <v>62</v>
      </c>
      <c r="B63" s="39" t="s">
        <v>1283</v>
      </c>
      <c r="C63" s="39" t="s">
        <v>1281</v>
      </c>
      <c r="D63" s="39">
        <v>2011</v>
      </c>
    </row>
    <row r="64" spans="1:4" x14ac:dyDescent="0.25">
      <c r="A64" s="39">
        <v>63</v>
      </c>
      <c r="B64" s="39" t="s">
        <v>1282</v>
      </c>
      <c r="C64" s="39" t="s">
        <v>1281</v>
      </c>
      <c r="D64" s="39">
        <v>2016</v>
      </c>
    </row>
    <row r="65" spans="1:4" x14ac:dyDescent="0.25">
      <c r="A65" s="39">
        <v>64</v>
      </c>
      <c r="B65" s="39" t="s">
        <v>1280</v>
      </c>
      <c r="C65" s="39" t="s">
        <v>1279</v>
      </c>
      <c r="D65" s="39">
        <v>1969</v>
      </c>
    </row>
    <row r="66" spans="1:4" x14ac:dyDescent="0.25">
      <c r="A66" s="39">
        <v>65</v>
      </c>
      <c r="B66" s="39" t="s">
        <v>1278</v>
      </c>
      <c r="D66" s="39">
        <v>2012</v>
      </c>
    </row>
    <row r="67" spans="1:4" x14ac:dyDescent="0.25">
      <c r="A67" s="39">
        <v>66</v>
      </c>
      <c r="B67" s="39" t="s">
        <v>1380</v>
      </c>
      <c r="C67" s="39" t="s">
        <v>1381</v>
      </c>
      <c r="D67" s="39">
        <v>2015</v>
      </c>
    </row>
    <row r="68" spans="1:4" x14ac:dyDescent="0.25">
      <c r="A68" s="39">
        <v>67</v>
      </c>
      <c r="B68" s="39" t="s">
        <v>1383</v>
      </c>
      <c r="C68" s="39" t="s">
        <v>1385</v>
      </c>
      <c r="D68" s="39">
        <v>2009</v>
      </c>
    </row>
    <row r="69" spans="1:4" x14ac:dyDescent="0.25">
      <c r="A69" s="39">
        <v>68</v>
      </c>
      <c r="B69" s="39" t="s">
        <v>1384</v>
      </c>
      <c r="C69" s="39" t="s">
        <v>1385</v>
      </c>
      <c r="D69" s="39">
        <v>2005</v>
      </c>
    </row>
    <row r="70" spans="1:4" x14ac:dyDescent="0.25">
      <c r="A70" s="39">
        <v>69</v>
      </c>
      <c r="B70" s="39" t="s">
        <v>1388</v>
      </c>
      <c r="C70" s="39" t="s">
        <v>1385</v>
      </c>
      <c r="D70" s="39">
        <v>2019</v>
      </c>
    </row>
    <row r="71" spans="1:4" x14ac:dyDescent="0.25">
      <c r="A71" s="39">
        <v>70</v>
      </c>
      <c r="B71" s="39" t="s">
        <v>1389</v>
      </c>
      <c r="C71" s="39" t="s">
        <v>1390</v>
      </c>
      <c r="D71" s="39">
        <v>2017</v>
      </c>
    </row>
    <row r="72" spans="1:4" x14ac:dyDescent="0.25">
      <c r="A72" s="39">
        <v>71</v>
      </c>
      <c r="B72" s="39" t="s">
        <v>1502</v>
      </c>
      <c r="C72" s="39" t="s">
        <v>1503</v>
      </c>
      <c r="D72" s="39">
        <v>2016</v>
      </c>
    </row>
    <row r="73" spans="1:4" x14ac:dyDescent="0.25">
      <c r="A73" s="39">
        <v>72</v>
      </c>
      <c r="B73" s="39" t="s">
        <v>1504</v>
      </c>
      <c r="C73" s="39" t="s">
        <v>1505</v>
      </c>
      <c r="D73" s="39">
        <v>2018</v>
      </c>
    </row>
    <row r="74" spans="1:4" x14ac:dyDescent="0.25">
      <c r="A74" s="39">
        <v>73</v>
      </c>
      <c r="B74" s="39" t="s">
        <v>1526</v>
      </c>
      <c r="C74" s="39" t="s">
        <v>1527</v>
      </c>
      <c r="D74" s="39">
        <v>2020</v>
      </c>
    </row>
    <row r="75" spans="1:4" x14ac:dyDescent="0.25">
      <c r="A75" s="39">
        <v>74</v>
      </c>
      <c r="B75" s="39" t="s">
        <v>1533</v>
      </c>
      <c r="C75" s="39" t="s">
        <v>1534</v>
      </c>
    </row>
    <row r="76" spans="1:4" x14ac:dyDescent="0.25">
      <c r="A76" s="39">
        <v>75</v>
      </c>
      <c r="B76" s="39" t="s">
        <v>1539</v>
      </c>
      <c r="C76" s="39" t="s">
        <v>1540</v>
      </c>
      <c r="D76" s="39">
        <v>2017</v>
      </c>
    </row>
    <row r="77" spans="1:4" x14ac:dyDescent="0.25">
      <c r="A77" s="39">
        <v>76</v>
      </c>
      <c r="B77" s="39" t="s">
        <v>1689</v>
      </c>
      <c r="C77" s="39" t="s">
        <v>1690</v>
      </c>
      <c r="D77" s="39">
        <v>2019</v>
      </c>
    </row>
  </sheetData>
  <pageMargins left="0.7" right="0.7" top="0.75" bottom="0.75" header="0.3" footer="0.3"/>
  <legacyDrawing r:id="rId1"/>
  <tableParts count="1">
    <tablePart r:id="rId2"/>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Fogli di lavoro</vt:lpstr>
      </vt:variant>
      <vt:variant>
        <vt:i4>12</vt:i4>
      </vt:variant>
      <vt:variant>
        <vt:lpstr>Intervalli denominati</vt:lpstr>
      </vt:variant>
      <vt:variant>
        <vt:i4>199</vt:i4>
      </vt:variant>
    </vt:vector>
  </HeadingPairs>
  <TitlesOfParts>
    <vt:vector size="211" baseType="lpstr">
      <vt:lpstr>User Interface</vt:lpstr>
      <vt:lpstr>MissionSpecificTechnologyValues</vt:lpstr>
      <vt:lpstr>MCA ESM</vt:lpstr>
      <vt:lpstr>ECLSS Composition</vt:lpstr>
      <vt:lpstr>Technology</vt:lpstr>
      <vt:lpstr>ECLSS Functions</vt:lpstr>
      <vt:lpstr>Plants and PGC</vt:lpstr>
      <vt:lpstr>Output Data</vt:lpstr>
      <vt:lpstr>Graphical Output</vt:lpstr>
      <vt:lpstr>Resupply Approach</vt:lpstr>
      <vt:lpstr>Schedule and Metabolic</vt:lpstr>
      <vt:lpstr>References</vt:lpstr>
      <vt:lpstr>AirLegend</vt:lpstr>
      <vt:lpstr>Amount_of_Modules</vt:lpstr>
      <vt:lpstr>Amount_of_ORUs</vt:lpstr>
      <vt:lpstr>BrineProcSolidWasteLabel</vt:lpstr>
      <vt:lpstr>BrineProcSolidWasteValue</vt:lpstr>
      <vt:lpstr>BrineProdValue</vt:lpstr>
      <vt:lpstr>BrinProcH2OtoCabinValue</vt:lpstr>
      <vt:lpstr>CH4_FromReductionToProcessingValue</vt:lpstr>
      <vt:lpstr>CO2_FromReductionToVentLabel</vt:lpstr>
      <vt:lpstr>CO2_FromReductionToVentValue</vt:lpstr>
      <vt:lpstr>CO2_FromReductionToWasteLabel</vt:lpstr>
      <vt:lpstr>CO2_FromReductionToWasteValue</vt:lpstr>
      <vt:lpstr>CO2_FromRemovalValue</vt:lpstr>
      <vt:lpstr>CO2_FromWasteToCabinValue</vt:lpstr>
      <vt:lpstr>CO2_ProdCrewValue</vt:lpstr>
      <vt:lpstr>CO2_RemovalToWasteLabel1</vt:lpstr>
      <vt:lpstr>CO2_RemovalToWasteLabel2</vt:lpstr>
      <vt:lpstr>CO2_RemovalToWasteValue1</vt:lpstr>
      <vt:lpstr>CO2_RemovalToWasteValue2</vt:lpstr>
      <vt:lpstr>Co2_Schedule2</vt:lpstr>
      <vt:lpstr>CO2_ToReductionValue</vt:lpstr>
      <vt:lpstr>CO2_ToVentValue</vt:lpstr>
      <vt:lpstr>CO2Legend</vt:lpstr>
      <vt:lpstr>CO2ToPBRValue</vt:lpstr>
      <vt:lpstr>CO2toPlantsValue</vt:lpstr>
      <vt:lpstr>Cooling</vt:lpstr>
      <vt:lpstr>Crew_Size</vt:lpstr>
      <vt:lpstr>CrewFecesLabel</vt:lpstr>
      <vt:lpstr>CrewFecesValue</vt:lpstr>
      <vt:lpstr>CrewUrineToPlantsValue</vt:lpstr>
      <vt:lpstr>CrewUrineWithoutProcessing</vt:lpstr>
      <vt:lpstr>CrewUrineWithoutProcessingLabel</vt:lpstr>
      <vt:lpstr>CrewUrineWithProcessing</vt:lpstr>
      <vt:lpstr>CurrentPGCArea</vt:lpstr>
      <vt:lpstr>CurrentPOI</vt:lpstr>
      <vt:lpstr>DES_Function</vt:lpstr>
      <vt:lpstr>ECLSS_Subs</vt:lpstr>
      <vt:lpstr>ECLSS_Type</vt:lpstr>
      <vt:lpstr>ECLSS_Type_Comp</vt:lpstr>
      <vt:lpstr>EdibleFromPlantsEnergyLabel</vt:lpstr>
      <vt:lpstr>EdibleFromPlantsEnergyValue</vt:lpstr>
      <vt:lpstr>EdibleFromPlantsLabel</vt:lpstr>
      <vt:lpstr>EdibleFromPlantsLabel2</vt:lpstr>
      <vt:lpstr>EdibleFromPlantsValue</vt:lpstr>
      <vt:lpstr>EdibleFromPlantsValue2</vt:lpstr>
      <vt:lpstr>EdibleFromPlantsWaterLabel</vt:lpstr>
      <vt:lpstr>EdibleFromPlantsWaterValue</vt:lpstr>
      <vt:lpstr>ESM_CoolingF</vt:lpstr>
      <vt:lpstr>ESM_Crew_TimeF</vt:lpstr>
      <vt:lpstr>ESM_LocationF</vt:lpstr>
      <vt:lpstr>ESM_PowerF</vt:lpstr>
      <vt:lpstr>ESM_VolumeF</vt:lpstr>
      <vt:lpstr>ExcludeNotFittingType</vt:lpstr>
      <vt:lpstr>ExcludePartialAlternatives</vt:lpstr>
      <vt:lpstr>Feces_Schedule2</vt:lpstr>
      <vt:lpstr>Food_Schedule2</vt:lpstr>
      <vt:lpstr>FoodConCrewValue</vt:lpstr>
      <vt:lpstr>FoodFromPBRValue</vt:lpstr>
      <vt:lpstr>FoodPackagingValue</vt:lpstr>
      <vt:lpstr>FromMethaneProcessingToVentLabel</vt:lpstr>
      <vt:lpstr>FromMethaneProcessingToVentValue</vt:lpstr>
      <vt:lpstr>FromMethaneProcessingToWasteLabel</vt:lpstr>
      <vt:lpstr>FromMethaneProcessingToWasteValue</vt:lpstr>
      <vt:lpstr>GreyWaterLegend</vt:lpstr>
      <vt:lpstr>H2_FromElectrolysisValue</vt:lpstr>
      <vt:lpstr>H2_FromMethaneProcessingValue</vt:lpstr>
      <vt:lpstr>H2_ToCO2ReductionValue</vt:lpstr>
      <vt:lpstr>H2_ToVentValue</vt:lpstr>
      <vt:lpstr>H2Legend</vt:lpstr>
      <vt:lpstr>H2O_ConCrewValue</vt:lpstr>
      <vt:lpstr>H2O_FoodConCrewValue</vt:lpstr>
      <vt:lpstr>H2O_FromCO2ReductionValue</vt:lpstr>
      <vt:lpstr>H2O_FromCO2RemovalValue</vt:lpstr>
      <vt:lpstr>H2O_FromHumControlToCO2RemovalValue</vt:lpstr>
      <vt:lpstr>H2O_FromWWFiltValue</vt:lpstr>
      <vt:lpstr>H2O_InediblePlantsLabel</vt:lpstr>
      <vt:lpstr>H2O_InediblePlantsToFiltrationValue</vt:lpstr>
      <vt:lpstr>H2O_InediblePlantsValue</vt:lpstr>
      <vt:lpstr>H2O_ProdCrewValue</vt:lpstr>
      <vt:lpstr>H2O_ToCO2ReductionValue</vt:lpstr>
      <vt:lpstr>H2O_ToCO2RemovalValue</vt:lpstr>
      <vt:lpstr>H2O_ToElectrolysisValue</vt:lpstr>
      <vt:lpstr>H2OfromPlantsValue</vt:lpstr>
      <vt:lpstr>H2OLegend</vt:lpstr>
      <vt:lpstr>H2OtoPlantsValue</vt:lpstr>
      <vt:lpstr>heat</vt:lpstr>
      <vt:lpstr>Heat_Schedule2</vt:lpstr>
      <vt:lpstr>HumControlToPlantsValue</vt:lpstr>
      <vt:lpstr>HumControlToVentValue</vt:lpstr>
      <vt:lpstr>HumControlToWasteValue</vt:lpstr>
      <vt:lpstr>HumControlToWWFiltrationValue</vt:lpstr>
      <vt:lpstr>Hygiene_Schedule2</vt:lpstr>
      <vt:lpstr>HygieneH2O_ConCrewValue</vt:lpstr>
      <vt:lpstr>HygieneH2O_ProdCrewValue</vt:lpstr>
      <vt:lpstr>HygieneH2O_ProdCrewWithoutFiltrationLabel</vt:lpstr>
      <vt:lpstr>HygieneH2O_ProdCrewWithoutFiltrationValue</vt:lpstr>
      <vt:lpstr>HygieneH2OCrewProdValue</vt:lpstr>
      <vt:lpstr>InedibleBiomassPBRValue</vt:lpstr>
      <vt:lpstr>Maintenance</vt:lpstr>
      <vt:lpstr>Mass</vt:lpstr>
      <vt:lpstr>Mass_margin</vt:lpstr>
      <vt:lpstr>Max_allowable_ppCO2</vt:lpstr>
      <vt:lpstr>MAX_Cooling</vt:lpstr>
      <vt:lpstr>MAX_Maintenance</vt:lpstr>
      <vt:lpstr>MAX_Mass</vt:lpstr>
      <vt:lpstr>MAX_Power</vt:lpstr>
      <vt:lpstr>MAX_Volume</vt:lpstr>
      <vt:lpstr>MCA_Ranking</vt:lpstr>
      <vt:lpstr>MCA_Value</vt:lpstr>
      <vt:lpstr>Metabolic_Values_up_to_date</vt:lpstr>
      <vt:lpstr>Min_allowable_ppO2</vt:lpstr>
      <vt:lpstr>MIN_Reliability</vt:lpstr>
      <vt:lpstr>MIN_TRL</vt:lpstr>
      <vt:lpstr>MiscLegend</vt:lpstr>
      <vt:lpstr>Mission_Duration</vt:lpstr>
      <vt:lpstr>N2_LeakageValue</vt:lpstr>
      <vt:lpstr>NutrientsToPBRValue</vt:lpstr>
      <vt:lpstr>NutrientsToPlantsLabel</vt:lpstr>
      <vt:lpstr>NutrientsToPlantsValue</vt:lpstr>
      <vt:lpstr>O2_ConCrewValue</vt:lpstr>
      <vt:lpstr>O2_FromCO2ReductionValue</vt:lpstr>
      <vt:lpstr>O2_FromElectrolysisValue</vt:lpstr>
      <vt:lpstr>O2_FromStorageValue</vt:lpstr>
      <vt:lpstr>O2_LeakageValue</vt:lpstr>
      <vt:lpstr>O2_Schedule2</vt:lpstr>
      <vt:lpstr>O2_toIncinerationLabel</vt:lpstr>
      <vt:lpstr>O2_toIncinerationValue</vt:lpstr>
      <vt:lpstr>O2FromPBRValue</vt:lpstr>
      <vt:lpstr>O2fromPlantsValue</vt:lpstr>
      <vt:lpstr>O2Legend</vt:lpstr>
      <vt:lpstr>PlantWaterContentToCrew</vt:lpstr>
      <vt:lpstr>PlantWaterContentToCrewLabel</vt:lpstr>
      <vt:lpstr>PlantWaterContentToCrewLabel2</vt:lpstr>
      <vt:lpstr>Potable_Schedule2</vt:lpstr>
      <vt:lpstr>Power</vt:lpstr>
      <vt:lpstr>Pressurized_Volume</vt:lpstr>
      <vt:lpstr>Reliability</vt:lpstr>
      <vt:lpstr>Schedule_Number</vt:lpstr>
      <vt:lpstr>Schedule_was_Checked</vt:lpstr>
      <vt:lpstr>SUM_CO2_Production</vt:lpstr>
      <vt:lpstr>SUM_CO2_Production_2</vt:lpstr>
      <vt:lpstr>SUM_Feces_Production</vt:lpstr>
      <vt:lpstr>SUM_Feces_Production_2</vt:lpstr>
      <vt:lpstr>SUM_Food_Need</vt:lpstr>
      <vt:lpstr>SUM_Food_Need_2</vt:lpstr>
      <vt:lpstr>SUM_Food_Water</vt:lpstr>
      <vt:lpstr>SUM_Heat_Load</vt:lpstr>
      <vt:lpstr>SUM_Heat_Load_2</vt:lpstr>
      <vt:lpstr>SUM_Hygiene_Solid_Waste</vt:lpstr>
      <vt:lpstr>SUM_Hygiene_Water_Need</vt:lpstr>
      <vt:lpstr>SUM_Hygiene_Water_Need_2</vt:lpstr>
      <vt:lpstr>SUM_Metabolic_Water</vt:lpstr>
      <vt:lpstr>SUM_O2_Consumption</vt:lpstr>
      <vt:lpstr>SUM_O2_Consumption_2</vt:lpstr>
      <vt:lpstr>SUM_Potable_Water_Need</vt:lpstr>
      <vt:lpstr>SUM_Potable_Water_Need_2</vt:lpstr>
      <vt:lpstr>SUM_Sweat_Production</vt:lpstr>
      <vt:lpstr>SUM_Sweat_Production_2</vt:lpstr>
      <vt:lpstr>SUM_Urine_Production</vt:lpstr>
      <vt:lpstr>SUM_Urine_Production_2</vt:lpstr>
      <vt:lpstr>SUM_Urine_Solid_Waste</vt:lpstr>
      <vt:lpstr>sweat</vt:lpstr>
      <vt:lpstr>Sweat_Schedule2</vt:lpstr>
      <vt:lpstr>Sweat_Solid_Waste</vt:lpstr>
      <vt:lpstr>SystemLevelFilter</vt:lpstr>
      <vt:lpstr>task_breakfast</vt:lpstr>
      <vt:lpstr>task_dinner</vt:lpstr>
      <vt:lpstr>task_excersise</vt:lpstr>
      <vt:lpstr>task_hygiene</vt:lpstr>
      <vt:lpstr>task_lunch</vt:lpstr>
      <vt:lpstr>task_personal</vt:lpstr>
      <vt:lpstr>task_postexcersise</vt:lpstr>
      <vt:lpstr>task_postsleep</vt:lpstr>
      <vt:lpstr>task_presleep</vt:lpstr>
      <vt:lpstr>task_sleep</vt:lpstr>
      <vt:lpstr>task_work</vt:lpstr>
      <vt:lpstr>TRL</vt:lpstr>
      <vt:lpstr>Urine_Schedule2</vt:lpstr>
      <vt:lpstr>UrineProcesingPotableWater</vt:lpstr>
      <vt:lpstr>UrineProcessingGreyWater</vt:lpstr>
      <vt:lpstr>UrineProcessingGreyWaterToWasteValue</vt:lpstr>
      <vt:lpstr>UrineToPlantsLabel</vt:lpstr>
      <vt:lpstr>UrineToPlantsValue</vt:lpstr>
      <vt:lpstr>Volume</vt:lpstr>
      <vt:lpstr>Waste_FromPlantsLabel</vt:lpstr>
      <vt:lpstr>Waste_FromPlantsValue</vt:lpstr>
      <vt:lpstr>WaterFromPBRValue</vt:lpstr>
      <vt:lpstr>WaterLegend</vt:lpstr>
      <vt:lpstr>WaterToPBRValue</vt:lpstr>
      <vt:lpstr>WC_Cooling</vt:lpstr>
      <vt:lpstr>WC_Maintenance</vt:lpstr>
      <vt:lpstr>WC_Mass</vt:lpstr>
      <vt:lpstr>WC_Power</vt:lpstr>
      <vt:lpstr>WC_Reliability</vt:lpstr>
      <vt:lpstr>WC_TRL</vt:lpstr>
      <vt:lpstr>WC_Volume</vt:lpstr>
      <vt:lpstr>WWFiltrationToWasteLabel</vt:lpstr>
      <vt:lpstr>WWFiltrationToWasteValue</vt:lpstr>
      <vt:lpstr>X</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Andreas; Michele Betti</dc:creator>
  <cp:lastModifiedBy>Michele Betti</cp:lastModifiedBy>
  <cp:lastPrinted>2021-04-08T09:03:34Z</cp:lastPrinted>
  <dcterms:created xsi:type="dcterms:W3CDTF">2018-12-05T08:15:10Z</dcterms:created>
  <dcterms:modified xsi:type="dcterms:W3CDTF">2026-05-13T14:28:32Z</dcterms:modified>
</cp:coreProperties>
</file>